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31"/>
  <workbookPr defaultThemeVersion="202300"/>
  <mc:AlternateContent xmlns:mc="http://schemas.openxmlformats.org/markup-compatibility/2006">
    <mc:Choice Requires="x15">
      <x15ac:absPath xmlns:x15ac="http://schemas.microsoft.com/office/spreadsheetml/2010/11/ac" url="https://mypac-my.sharepoint.com/personal/shay_tsaban_pac_org_il/Documents/BIU Finance Exec/"/>
    </mc:Choice>
  </mc:AlternateContent>
  <xr:revisionPtr revIDLastSave="1247" documentId="13_ncr:1_{C20813CF-276D-B64F-A53D-1279140D3A0B}" xr6:coauthVersionLast="47" xr6:coauthVersionMax="47" xr10:uidLastSave="{10A29093-C989-3D4D-A624-115BE15CCCB5}"/>
  <bookViews>
    <workbookView xWindow="0" yWindow="620" windowWidth="38080" windowHeight="21600" activeTab="4" xr2:uid="{DE765592-CC65-8E4B-8DC4-472098D20C09}"/>
  </bookViews>
  <sheets>
    <sheet name="תרגול 1" sheetId="1" r:id="rId1"/>
    <sheet name="תרגול 2" sheetId="2" r:id="rId2"/>
    <sheet name="תרגול 3" sheetId="3" r:id="rId3"/>
    <sheet name="תרגול 4" sheetId="4" r:id="rId4"/>
    <sheet name="חיזוקי אגח נוספים ללא מפגש" sheetId="12" r:id="rId5"/>
    <sheet name="תרגול 5 עדכני קיץ" sheetId="5" r:id="rId6"/>
    <sheet name="תרגול 7 חדש אגח והצמדות" sheetId="13" r:id="rId7"/>
    <sheet name="תרגול 8 - פרויקטים" sheetId="6" r:id="rId8"/>
    <sheet name="היבטים במבחן 1" sheetId="7" r:id="rId9"/>
    <sheet name="היבטים במבחן 2" sheetId="8" r:id="rId10"/>
    <sheet name="היבטים במבחן 3" sheetId="9" r:id="rId11"/>
    <sheet name="היבטים במבחן 4" sheetId="10" r:id="rId12"/>
    <sheet name="תרגול מסכם והיבטים נוספים" sheetId="11" r:id="rId13"/>
    <sheet name="שיעורון חזרה לקראת מועד ב" sheetId="14" r:id="rId1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235" i="5" l="1"/>
  <c r="D226" i="5"/>
  <c r="L186" i="5"/>
  <c r="G186" i="5"/>
  <c r="H186" i="5"/>
  <c r="I186" i="5"/>
  <c r="J186" i="5"/>
  <c r="K186" i="5"/>
  <c r="F186" i="5"/>
  <c r="E328" i="4"/>
  <c r="D325" i="4"/>
  <c r="E326" i="4"/>
  <c r="E325" i="4"/>
  <c r="D310" i="4"/>
  <c r="N281" i="4"/>
  <c r="J277" i="4"/>
  <c r="J275" i="4"/>
  <c r="J274" i="4"/>
  <c r="J219" i="4"/>
  <c r="J220" i="4" s="1"/>
  <c r="J221" i="4" s="1"/>
  <c r="J222" i="4" s="1"/>
  <c r="J223" i="4" s="1"/>
  <c r="J224" i="4" s="1"/>
  <c r="J225" i="4" s="1"/>
  <c r="J226" i="4" s="1"/>
  <c r="J227" i="4" s="1"/>
  <c r="J228" i="4" s="1"/>
  <c r="J229" i="4" s="1"/>
  <c r="J230" i="4" s="1"/>
  <c r="J231" i="4" s="1"/>
  <c r="J232" i="4" s="1"/>
  <c r="J233" i="4" s="1"/>
  <c r="J234" i="4" s="1"/>
  <c r="J235" i="4" s="1"/>
  <c r="F196" i="4"/>
  <c r="G193" i="4"/>
  <c r="G196" i="4" s="1"/>
  <c r="K359" i="3"/>
  <c r="L354" i="3"/>
  <c r="M271" i="3"/>
  <c r="E119" i="3"/>
  <c r="D26" i="3"/>
  <c r="D27" i="3"/>
  <c r="D241" i="1"/>
  <c r="D243" i="1"/>
  <c r="E241" i="1"/>
  <c r="I69" i="1"/>
  <c r="F67" i="1"/>
  <c r="F68" i="1"/>
  <c r="F69" i="1"/>
  <c r="F70" i="1"/>
  <c r="F66" i="1"/>
  <c r="D54" i="1"/>
  <c r="D53" i="1"/>
  <c r="D52" i="1"/>
  <c r="D50" i="1"/>
  <c r="F165" i="14"/>
  <c r="B156" i="14"/>
  <c r="B153" i="14"/>
  <c r="B152" i="14"/>
  <c r="F156" i="14"/>
  <c r="F153" i="14"/>
  <c r="F154" i="14"/>
  <c r="J121" i="14"/>
  <c r="J119" i="14" s="1"/>
  <c r="I121" i="14" s="1"/>
  <c r="I119" i="14" s="1"/>
  <c r="H121" i="14" s="1"/>
  <c r="K119" i="14"/>
  <c r="G118" i="14"/>
  <c r="H118" i="14"/>
  <c r="G117" i="14"/>
  <c r="H117" i="14"/>
  <c r="K118" i="14"/>
  <c r="D89" i="14"/>
  <c r="C81" i="14"/>
  <c r="C84" i="14"/>
  <c r="D84" i="14"/>
  <c r="D81" i="14"/>
  <c r="D82" i="14"/>
  <c r="D83" i="14" s="1"/>
  <c r="C85" i="14" s="1"/>
  <c r="E84" i="14"/>
  <c r="E82" i="14"/>
  <c r="E83" i="14" s="1"/>
  <c r="C83" i="14" s="1"/>
  <c r="C82" i="14" s="1"/>
  <c r="D87" i="14" s="1"/>
  <c r="E81" i="14"/>
  <c r="G69" i="14"/>
  <c r="J56" i="14"/>
  <c r="J57" i="14" s="1"/>
  <c r="D57" i="14" s="1"/>
  <c r="J59" i="14"/>
  <c r="J47" i="14"/>
  <c r="J46" i="14"/>
  <c r="J49" i="14"/>
  <c r="J39" i="14"/>
  <c r="J38" i="14"/>
  <c r="J41" i="14"/>
  <c r="J33" i="14"/>
  <c r="J31" i="14"/>
  <c r="J30" i="14"/>
  <c r="E44" i="9"/>
  <c r="F35" i="9"/>
  <c r="E37" i="9" s="1"/>
  <c r="E35" i="9" s="1"/>
  <c r="E43" i="9" s="1"/>
  <c r="E45" i="9" s="1"/>
  <c r="D23" i="9"/>
  <c r="F23" i="9"/>
  <c r="R348" i="8"/>
  <c r="R347" i="8"/>
  <c r="K69" i="14"/>
  <c r="E327" i="4" l="1"/>
  <c r="D126" i="3"/>
  <c r="E128" i="3" s="1"/>
  <c r="E130" i="3"/>
  <c r="H119" i="14"/>
  <c r="G121" i="14" s="1"/>
  <c r="G119" i="14"/>
  <c r="J48" i="14"/>
  <c r="F50" i="14" s="1"/>
  <c r="F52" i="14" s="1"/>
  <c r="J40" i="14"/>
  <c r="J32" i="14"/>
  <c r="R349" i="8"/>
  <c r="R350" i="8" s="1"/>
  <c r="R354" i="8" s="1"/>
  <c r="D327" i="4" l="1"/>
  <c r="D337" i="4"/>
  <c r="D329" i="4" s="1"/>
  <c r="F56" i="8"/>
  <c r="E677" i="7"/>
  <c r="D677" i="7"/>
  <c r="C677" i="7"/>
  <c r="C676" i="7"/>
  <c r="D676" i="7"/>
  <c r="E676" i="7"/>
  <c r="B224" i="10"/>
  <c r="E363" i="7"/>
  <c r="D595" i="8"/>
  <c r="N751" i="7"/>
  <c r="D293" i="4"/>
  <c r="D294" i="4" s="1"/>
  <c r="F84" i="11"/>
  <c r="F86" i="11" s="1"/>
  <c r="F96" i="11" s="1"/>
  <c r="F83" i="11"/>
  <c r="F93" i="11" s="1"/>
  <c r="C727" i="8"/>
  <c r="G717" i="8"/>
  <c r="D563" i="8"/>
  <c r="C352" i="8"/>
  <c r="H356" i="8"/>
  <c r="H357" i="8" s="1"/>
  <c r="F350" i="8"/>
  <c r="D349" i="8"/>
  <c r="F346" i="8"/>
  <c r="E346" i="8"/>
  <c r="D346" i="8"/>
  <c r="D347" i="8" s="1"/>
  <c r="D348" i="8" s="1"/>
  <c r="F239" i="8"/>
  <c r="K226" i="8" s="1"/>
  <c r="F105" i="8"/>
  <c r="G97" i="8"/>
  <c r="F104" i="8" s="1"/>
  <c r="Q63" i="7"/>
  <c r="Q62" i="7"/>
  <c r="Q61" i="7"/>
  <c r="Q60" i="7"/>
  <c r="Q59" i="7"/>
  <c r="Q58" i="7"/>
  <c r="Q57" i="7"/>
  <c r="Q56" i="7"/>
  <c r="Q55" i="7"/>
  <c r="Q54" i="7"/>
  <c r="S49" i="7"/>
  <c r="S46" i="7"/>
  <c r="K63" i="7"/>
  <c r="E427" i="8"/>
  <c r="E425" i="8"/>
  <c r="E471" i="8"/>
  <c r="F469" i="8"/>
  <c r="D302" i="8"/>
  <c r="F297" i="8"/>
  <c r="E313" i="9"/>
  <c r="E316" i="9"/>
  <c r="E314" i="9"/>
  <c r="E315" i="9" s="1"/>
  <c r="F298" i="9"/>
  <c r="F297" i="9" s="1"/>
  <c r="D248" i="9"/>
  <c r="F132" i="9"/>
  <c r="F142" i="9" s="1"/>
  <c r="F145" i="9" s="1"/>
  <c r="G86" i="9"/>
  <c r="G84" i="9"/>
  <c r="C77" i="9"/>
  <c r="E70" i="9"/>
  <c r="E71" i="9" s="1"/>
  <c r="D70" i="9"/>
  <c r="D76" i="9" s="1"/>
  <c r="N570" i="7"/>
  <c r="M570" i="7"/>
  <c r="L570" i="7"/>
  <c r="K570" i="7"/>
  <c r="J570" i="7"/>
  <c r="I570" i="7"/>
  <c r="D581" i="7" s="1"/>
  <c r="D582" i="7" s="1"/>
  <c r="D583" i="7" s="1"/>
  <c r="D584" i="7" s="1"/>
  <c r="D585" i="7" s="1"/>
  <c r="D586" i="7" s="1"/>
  <c r="H567" i="7"/>
  <c r="G567" i="7"/>
  <c r="F567" i="7"/>
  <c r="E567" i="7"/>
  <c r="E566" i="7"/>
  <c r="F566" i="7" s="1"/>
  <c r="G566" i="7" s="1"/>
  <c r="F565" i="7"/>
  <c r="G565" i="7" s="1"/>
  <c r="H565" i="7" s="1"/>
  <c r="I565" i="7" s="1"/>
  <c r="J565" i="7" s="1"/>
  <c r="K565" i="7" s="1"/>
  <c r="L565" i="7" s="1"/>
  <c r="M565" i="7" s="1"/>
  <c r="N565" i="7" s="1"/>
  <c r="F446" i="7"/>
  <c r="F448" i="7" s="1"/>
  <c r="D454" i="7" s="1"/>
  <c r="H332" i="7"/>
  <c r="H330" i="7"/>
  <c r="H329" i="7"/>
  <c r="E310" i="7"/>
  <c r="F298" i="7"/>
  <c r="F299" i="7"/>
  <c r="F297" i="7"/>
  <c r="B260" i="7"/>
  <c r="B262" i="7"/>
  <c r="F259" i="7"/>
  <c r="F261" i="7" s="1"/>
  <c r="D230" i="7"/>
  <c r="B237" i="7" s="1"/>
  <c r="C209" i="7"/>
  <c r="B235" i="7" s="1"/>
  <c r="F207" i="7"/>
  <c r="C198" i="7"/>
  <c r="B236" i="7" s="1"/>
  <c r="F191" i="7"/>
  <c r="B234" i="7" s="1"/>
  <c r="H156" i="7"/>
  <c r="F156" i="7"/>
  <c r="F147" i="7"/>
  <c r="H147" i="7"/>
  <c r="C112" i="7"/>
  <c r="C116" i="7" s="1"/>
  <c r="D84" i="7"/>
  <c r="N82" i="7"/>
  <c r="N80" i="7"/>
  <c r="M80" i="7"/>
  <c r="M84" i="7" s="1"/>
  <c r="L80" i="7"/>
  <c r="L84" i="7" s="1"/>
  <c r="K80" i="7"/>
  <c r="K84" i="7" s="1"/>
  <c r="J80" i="7"/>
  <c r="J84" i="7" s="1"/>
  <c r="I80" i="7"/>
  <c r="I84" i="7" s="1"/>
  <c r="H77" i="7"/>
  <c r="G77" i="7"/>
  <c r="F77" i="7"/>
  <c r="E77" i="7"/>
  <c r="F75" i="7"/>
  <c r="G75" i="7" s="1"/>
  <c r="H75" i="7" s="1"/>
  <c r="I75" i="7" s="1"/>
  <c r="J75" i="7" s="1"/>
  <c r="K75" i="7" s="1"/>
  <c r="L75" i="7" s="1"/>
  <c r="M75" i="7" s="1"/>
  <c r="N75" i="7" s="1"/>
  <c r="E76" i="7"/>
  <c r="F76" i="7" s="1"/>
  <c r="G76" i="7" s="1"/>
  <c r="A5" i="7"/>
  <c r="A6" i="7" s="1"/>
  <c r="A7" i="7" s="1"/>
  <c r="A8" i="7" s="1"/>
  <c r="A9" i="7" s="1"/>
  <c r="A10" i="7" s="1"/>
  <c r="A11" i="7" s="1"/>
  <c r="A12" i="7" s="1"/>
  <c r="A13" i="7" s="1"/>
  <c r="A14" i="7" s="1"/>
  <c r="A15" i="7" s="1"/>
  <c r="A16" i="7" s="1"/>
  <c r="A17" i="7" s="1"/>
  <c r="A18" i="7" s="1"/>
  <c r="F473" i="6"/>
  <c r="D468" i="6"/>
  <c r="G345" i="6"/>
  <c r="F345" i="6"/>
  <c r="D345" i="6"/>
  <c r="D255" i="6"/>
  <c r="D254" i="6"/>
  <c r="B199" i="6"/>
  <c r="D312" i="4" l="1"/>
  <c r="D314" i="4" s="1"/>
  <c r="J276" i="4"/>
  <c r="M293" i="4" s="1"/>
  <c r="Q65" i="7"/>
  <c r="O70" i="7" s="1"/>
  <c r="O72" i="7" s="1"/>
  <c r="F94" i="11"/>
  <c r="E105" i="11" s="1"/>
  <c r="B305" i="4"/>
  <c r="D352" i="8"/>
  <c r="E347" i="8"/>
  <c r="E348" i="8" s="1"/>
  <c r="E352" i="8" s="1"/>
  <c r="F347" i="8"/>
  <c r="F348" i="8" s="1"/>
  <c r="F352" i="8" s="1"/>
  <c r="B373" i="8" s="1"/>
  <c r="D375" i="8" s="1"/>
  <c r="F106" i="8"/>
  <c r="D71" i="9"/>
  <c r="E76" i="9"/>
  <c r="E72" i="9"/>
  <c r="E73" i="9" s="1"/>
  <c r="E568" i="7"/>
  <c r="E570" i="7" s="1"/>
  <c r="D577" i="7" s="1"/>
  <c r="H566" i="7"/>
  <c r="G568" i="7"/>
  <c r="G570" i="7" s="1"/>
  <c r="F568" i="7"/>
  <c r="F570" i="7" s="1"/>
  <c r="D578" i="7" s="1"/>
  <c r="D579" i="7" s="1"/>
  <c r="D580" i="7" s="1"/>
  <c r="H331" i="7"/>
  <c r="B261" i="7"/>
  <c r="D272" i="7" s="1"/>
  <c r="N84" i="7"/>
  <c r="E78" i="7"/>
  <c r="E80" i="7" s="1"/>
  <c r="E84" i="7" s="1"/>
  <c r="F78" i="7"/>
  <c r="F80" i="7" s="1"/>
  <c r="F84" i="7" s="1"/>
  <c r="H76" i="7"/>
  <c r="I76" i="7" s="1"/>
  <c r="J76" i="7" s="1"/>
  <c r="K76" i="7" s="1"/>
  <c r="L76" i="7" s="1"/>
  <c r="M76" i="7" s="1"/>
  <c r="N76" i="7" s="1"/>
  <c r="G78" i="7"/>
  <c r="G80" i="7" s="1"/>
  <c r="G84" i="7" s="1"/>
  <c r="E158" i="13"/>
  <c r="E136" i="13"/>
  <c r="G132" i="13"/>
  <c r="G130" i="13"/>
  <c r="G129" i="13"/>
  <c r="C104" i="13"/>
  <c r="C95" i="13"/>
  <c r="F68" i="13"/>
  <c r="F66" i="13"/>
  <c r="F65" i="13"/>
  <c r="F55" i="13"/>
  <c r="F53" i="13"/>
  <c r="F52" i="13"/>
  <c r="D43" i="13"/>
  <c r="F21" i="13"/>
  <c r="F20" i="13" s="1"/>
  <c r="F291" i="5"/>
  <c r="E292" i="5"/>
  <c r="E45" i="5"/>
  <c r="E44" i="5" s="1"/>
  <c r="J98" i="12"/>
  <c r="H108" i="12" s="1"/>
  <c r="D108" i="12"/>
  <c r="D98" i="12"/>
  <c r="D77" i="12"/>
  <c r="D73" i="12"/>
  <c r="E73" i="12"/>
  <c r="F76" i="12"/>
  <c r="E76" i="12" s="1"/>
  <c r="C56" i="12"/>
  <c r="D56" i="12"/>
  <c r="E56" i="12"/>
  <c r="E59" i="12"/>
  <c r="D59" i="12" s="1"/>
  <c r="F30" i="12"/>
  <c r="F41" i="12" s="1"/>
  <c r="C228" i="4"/>
  <c r="K222" i="4" s="1"/>
  <c r="K223" i="4" s="1"/>
  <c r="K224" i="4" s="1"/>
  <c r="K225" i="4" s="1"/>
  <c r="K226" i="4" s="1"/>
  <c r="K227" i="4" s="1"/>
  <c r="K228" i="4" s="1"/>
  <c r="K229" i="4" s="1"/>
  <c r="K230" i="4" s="1"/>
  <c r="K231" i="4" s="1"/>
  <c r="K232" i="4" s="1"/>
  <c r="K233" i="4" s="1"/>
  <c r="K234" i="4" s="1"/>
  <c r="K235" i="4" s="1"/>
  <c r="G228" i="4"/>
  <c r="A228" i="4"/>
  <c r="B228" i="4"/>
  <c r="D228" i="4"/>
  <c r="E228" i="4"/>
  <c r="F228" i="4"/>
  <c r="L196" i="4"/>
  <c r="K196" i="4"/>
  <c r="E69" i="4"/>
  <c r="D71" i="4" s="1"/>
  <c r="D69" i="4" s="1"/>
  <c r="E31" i="4"/>
  <c r="C43" i="4" s="1"/>
  <c r="C416" i="3"/>
  <c r="B378" i="3"/>
  <c r="C367" i="3"/>
  <c r="C360" i="3"/>
  <c r="G362" i="3"/>
  <c r="L277" i="3"/>
  <c r="E273" i="3"/>
  <c r="E272" i="3"/>
  <c r="F279" i="3"/>
  <c r="F271" i="3"/>
  <c r="F270" i="3"/>
  <c r="A230" i="2"/>
  <c r="F232" i="2" s="1"/>
  <c r="A169" i="1"/>
  <c r="B169" i="1"/>
  <c r="D263" i="1"/>
  <c r="E250" i="1"/>
  <c r="E251" i="1" s="1"/>
  <c r="E252" i="1" s="1"/>
  <c r="E253" i="1" s="1"/>
  <c r="E254" i="1" s="1"/>
  <c r="E255" i="1" s="1"/>
  <c r="E256" i="1" s="1"/>
  <c r="E257" i="1" s="1"/>
  <c r="E258" i="1" s="1"/>
  <c r="E259" i="1" s="1"/>
  <c r="E260" i="1" s="1"/>
  <c r="E261" i="1" s="1"/>
  <c r="A165" i="1"/>
  <c r="A166" i="1" s="1"/>
  <c r="D179" i="1"/>
  <c r="C169" i="1"/>
  <c r="H100" i="1"/>
  <c r="E92" i="1"/>
  <c r="E93" i="1" s="1"/>
  <c r="E94" i="1" s="1"/>
  <c r="E95" i="1" s="1"/>
  <c r="E96" i="1" s="1"/>
  <c r="E97" i="1" s="1"/>
  <c r="F636" i="7"/>
  <c r="F638" i="7" s="1"/>
  <c r="K652" i="8"/>
  <c r="L652" i="8" s="1"/>
  <c r="M652" i="8" s="1"/>
  <c r="D141" i="8"/>
  <c r="E141" i="8" s="1"/>
  <c r="E861" i="7"/>
  <c r="D861" i="7"/>
  <c r="E684" i="7"/>
  <c r="G11" i="11"/>
  <c r="G10" i="11"/>
  <c r="G9" i="11"/>
  <c r="G8" i="11"/>
  <c r="G7" i="11"/>
  <c r="G6" i="11"/>
  <c r="G5" i="11"/>
  <c r="G12" i="11" l="1"/>
  <c r="H11" i="11" s="1"/>
  <c r="D588" i="7"/>
  <c r="D590" i="7" s="1"/>
  <c r="E77" i="9"/>
  <c r="D72" i="9"/>
  <c r="D73" i="9" s="1"/>
  <c r="D77" i="9" s="1"/>
  <c r="I566" i="7"/>
  <c r="J566" i="7" s="1"/>
  <c r="K566" i="7" s="1"/>
  <c r="L566" i="7" s="1"/>
  <c r="M566" i="7" s="1"/>
  <c r="N566" i="7" s="1"/>
  <c r="H568" i="7"/>
  <c r="H570" i="7" s="1"/>
  <c r="H78" i="7"/>
  <c r="H80" i="7" s="1"/>
  <c r="H84" i="7" s="1"/>
  <c r="F54" i="13"/>
  <c r="F67" i="13"/>
  <c r="F293" i="5"/>
  <c r="F75" i="12"/>
  <c r="D76" i="12"/>
  <c r="D89" i="12" s="1"/>
  <c r="E75" i="12"/>
  <c r="E58" i="12"/>
  <c r="C58" i="12" s="1"/>
  <c r="C59" i="12"/>
  <c r="D58" i="12"/>
  <c r="C60" i="12" s="1"/>
  <c r="A30" i="12"/>
  <c r="A29" i="12" s="1"/>
  <c r="F29" i="12"/>
  <c r="D147" i="8"/>
  <c r="E147" i="8"/>
  <c r="F141" i="8"/>
  <c r="E44" i="11"/>
  <c r="E33" i="11"/>
  <c r="D35" i="11" s="1"/>
  <c r="D33" i="11" s="1"/>
  <c r="C58" i="11"/>
  <c r="B56" i="11" s="1"/>
  <c r="B58" i="11" s="1"/>
  <c r="A56" i="11" s="1"/>
  <c r="A58" i="11" s="1"/>
  <c r="B63" i="11" s="1"/>
  <c r="H342" i="10"/>
  <c r="D337" i="10"/>
  <c r="E337" i="10" s="1"/>
  <c r="E336" i="10"/>
  <c r="F336" i="10" s="1"/>
  <c r="G336" i="10" s="1"/>
  <c r="H336" i="10" s="1"/>
  <c r="C344" i="10"/>
  <c r="D682" i="8"/>
  <c r="E684" i="8"/>
  <c r="D685" i="8" s="1"/>
  <c r="E672" i="8"/>
  <c r="F654" i="8"/>
  <c r="F655" i="8" s="1"/>
  <c r="E662" i="8" s="1"/>
  <c r="E663" i="8" s="1"/>
  <c r="D392" i="10"/>
  <c r="C394" i="10" s="1"/>
  <c r="C392" i="10" s="1"/>
  <c r="C397" i="10" s="1"/>
  <c r="C399" i="10" s="1"/>
  <c r="B509" i="8"/>
  <c r="B508" i="8"/>
  <c r="B507" i="8"/>
  <c r="B515" i="8" s="1"/>
  <c r="C509" i="8"/>
  <c r="C508" i="8"/>
  <c r="C507" i="8"/>
  <c r="D509" i="8"/>
  <c r="D508" i="8"/>
  <c r="D507" i="8"/>
  <c r="F396" i="8"/>
  <c r="F395" i="8"/>
  <c r="F398" i="8"/>
  <c r="G617" i="8"/>
  <c r="G618" i="8" s="1"/>
  <c r="C618" i="8" s="1"/>
  <c r="D629" i="8" s="1"/>
  <c r="E139" i="8"/>
  <c r="F139" i="8" s="1"/>
  <c r="G139" i="8" s="1"/>
  <c r="H139" i="8" s="1"/>
  <c r="C148" i="8"/>
  <c r="E512" i="7"/>
  <c r="D514" i="7" s="1"/>
  <c r="D512" i="7" s="1"/>
  <c r="C526" i="7" s="1"/>
  <c r="F514" i="7"/>
  <c r="C525" i="7" s="1"/>
  <c r="C903" i="7"/>
  <c r="E888" i="7"/>
  <c r="E893" i="7" s="1"/>
  <c r="D888" i="7"/>
  <c r="D893" i="7" s="1"/>
  <c r="F843" i="7"/>
  <c r="D860" i="7"/>
  <c r="E860" i="7" s="1"/>
  <c r="C867" i="7"/>
  <c r="C874" i="7" s="1"/>
  <c r="C690" i="7"/>
  <c r="C695" i="7"/>
  <c r="C694" i="7"/>
  <c r="C693" i="7"/>
  <c r="D695" i="7"/>
  <c r="D694" i="7"/>
  <c r="D693" i="7"/>
  <c r="B187" i="9"/>
  <c r="B181" i="9"/>
  <c r="F742" i="7"/>
  <c r="G742" i="7" s="1"/>
  <c r="E743" i="7"/>
  <c r="F743" i="7" s="1"/>
  <c r="D744" i="7"/>
  <c r="D746" i="7" s="1"/>
  <c r="C746" i="7"/>
  <c r="C751" i="7" s="1"/>
  <c r="E764" i="7"/>
  <c r="E765" i="7"/>
  <c r="B821" i="7"/>
  <c r="D815" i="7" s="1"/>
  <c r="D816" i="7" s="1"/>
  <c r="G745" i="7" s="1"/>
  <c r="E451" i="10"/>
  <c r="D428" i="10"/>
  <c r="D436" i="10" s="1"/>
  <c r="D433" i="10" s="1"/>
  <c r="C433" i="10" s="1"/>
  <c r="C428" i="10"/>
  <c r="C436" i="10" s="1"/>
  <c r="E299" i="10"/>
  <c r="E302" i="10" s="1"/>
  <c r="E312" i="10" s="1"/>
  <c r="E264" i="10"/>
  <c r="E233" i="10"/>
  <c r="D235" i="10" s="1"/>
  <c r="D232" i="10"/>
  <c r="E135" i="10"/>
  <c r="E138" i="10" s="1"/>
  <c r="E147" i="10" s="1"/>
  <c r="B153" i="10" s="1"/>
  <c r="D122" i="10"/>
  <c r="C124" i="10" s="1"/>
  <c r="C122" i="10" s="1"/>
  <c r="D109" i="10"/>
  <c r="F71" i="10"/>
  <c r="E69" i="10" s="1"/>
  <c r="E71" i="10" s="1"/>
  <c r="B68" i="10" s="1"/>
  <c r="B200" i="9" l="1"/>
  <c r="B204" i="9" s="1"/>
  <c r="E338" i="10"/>
  <c r="E339" i="10" s="1"/>
  <c r="D747" i="7"/>
  <c r="H8" i="11"/>
  <c r="H7" i="11"/>
  <c r="H6" i="11"/>
  <c r="H5" i="11"/>
  <c r="H9" i="11"/>
  <c r="H10" i="11"/>
  <c r="C57" i="12"/>
  <c r="D75" i="12"/>
  <c r="D88" i="12" s="1"/>
  <c r="D90" i="12" s="1"/>
  <c r="H21" i="12"/>
  <c r="F40" i="12"/>
  <c r="F42" i="12"/>
  <c r="H23" i="12"/>
  <c r="B513" i="8"/>
  <c r="D511" i="8"/>
  <c r="B511" i="8"/>
  <c r="F147" i="8"/>
  <c r="G141" i="8"/>
  <c r="D513" i="8"/>
  <c r="C511" i="8"/>
  <c r="D684" i="8"/>
  <c r="C513" i="8"/>
  <c r="D515" i="8"/>
  <c r="C515" i="8"/>
  <c r="F335" i="10"/>
  <c r="E340" i="10"/>
  <c r="E343" i="10"/>
  <c r="F337" i="10"/>
  <c r="G335" i="10"/>
  <c r="D338" i="10"/>
  <c r="D339" i="10" s="1"/>
  <c r="D343" i="10"/>
  <c r="C434" i="10"/>
  <c r="D233" i="10"/>
  <c r="F397" i="8"/>
  <c r="F620" i="8"/>
  <c r="F618" i="8" s="1"/>
  <c r="D628" i="8" s="1"/>
  <c r="D630" i="8" s="1"/>
  <c r="I139" i="8"/>
  <c r="D142" i="8"/>
  <c r="D143" i="8" s="1"/>
  <c r="E889" i="7"/>
  <c r="C527" i="7"/>
  <c r="G529" i="7" s="1"/>
  <c r="D889" i="7"/>
  <c r="D890" i="7" s="1"/>
  <c r="D891" i="7" s="1"/>
  <c r="D894" i="7" s="1"/>
  <c r="C904" i="7" s="1"/>
  <c r="D862" i="7"/>
  <c r="D863" i="7" s="1"/>
  <c r="D697" i="7"/>
  <c r="C697" i="7"/>
  <c r="E744" i="7"/>
  <c r="E750" i="7" s="1"/>
  <c r="G743" i="7"/>
  <c r="D750" i="7"/>
  <c r="D751" i="7" s="1"/>
  <c r="D829" i="7"/>
  <c r="D831" i="7" s="1"/>
  <c r="D425" i="10"/>
  <c r="C425" i="10" s="1"/>
  <c r="C426" i="10" s="1"/>
  <c r="F39" i="12" l="1"/>
  <c r="G147" i="8"/>
  <c r="H141" i="8"/>
  <c r="E344" i="10"/>
  <c r="D340" i="10"/>
  <c r="D344" i="10" s="1"/>
  <c r="H335" i="10"/>
  <c r="F343" i="10"/>
  <c r="G337" i="10"/>
  <c r="F338" i="10"/>
  <c r="F339" i="10" s="1"/>
  <c r="J139" i="8"/>
  <c r="E142" i="8"/>
  <c r="E143" i="8" s="1"/>
  <c r="D144" i="8"/>
  <c r="D148" i="8" s="1"/>
  <c r="E890" i="7"/>
  <c r="E891" i="7" s="1"/>
  <c r="E894" i="7" s="1"/>
  <c r="C905" i="7" s="1"/>
  <c r="C907" i="7" s="1"/>
  <c r="D864" i="7"/>
  <c r="D867" i="7" s="1"/>
  <c r="C875" i="7" s="1"/>
  <c r="E862" i="7"/>
  <c r="E863" i="7" s="1"/>
  <c r="B701" i="7"/>
  <c r="E746" i="7"/>
  <c r="F744" i="7"/>
  <c r="E747" i="7" l="1"/>
  <c r="E751" i="7" s="1"/>
  <c r="H147" i="8"/>
  <c r="I141" i="8"/>
  <c r="I142" i="8" s="1"/>
  <c r="H142" i="8"/>
  <c r="H143" i="8" s="1"/>
  <c r="H144" i="8" s="1"/>
  <c r="F340" i="10"/>
  <c r="F344" i="10" s="1"/>
  <c r="H337" i="10"/>
  <c r="G343" i="10"/>
  <c r="G338" i="10"/>
  <c r="G339" i="10" s="1"/>
  <c r="K139" i="8"/>
  <c r="F142" i="8"/>
  <c r="F143" i="8" s="1"/>
  <c r="E144" i="8"/>
  <c r="E148" i="8" s="1"/>
  <c r="E864" i="7"/>
  <c r="E867" i="7" s="1"/>
  <c r="C876" i="7" s="1"/>
  <c r="C878" i="7" s="1"/>
  <c r="B910" i="7" s="1"/>
  <c r="G744" i="7"/>
  <c r="F746" i="7"/>
  <c r="F750" i="7"/>
  <c r="H148" i="8" l="1"/>
  <c r="I147" i="8"/>
  <c r="J141" i="8"/>
  <c r="G340" i="10"/>
  <c r="G344" i="10" s="1"/>
  <c r="H343" i="10"/>
  <c r="H338" i="10"/>
  <c r="H339" i="10" s="1"/>
  <c r="I143" i="8"/>
  <c r="I144" i="8" s="1"/>
  <c r="G142" i="8"/>
  <c r="G143" i="8" s="1"/>
  <c r="F144" i="8"/>
  <c r="F148" i="8" s="1"/>
  <c r="F747" i="7"/>
  <c r="F751" i="7" s="1"/>
  <c r="G750" i="7"/>
  <c r="G746" i="7"/>
  <c r="I148" i="8" l="1"/>
  <c r="J147" i="8"/>
  <c r="K141" i="8"/>
  <c r="K147" i="8" s="1"/>
  <c r="J142" i="8"/>
  <c r="H340" i="10"/>
  <c r="H344" i="10" s="1"/>
  <c r="C346" i="10" s="1"/>
  <c r="G144" i="8"/>
  <c r="G148" i="8" s="1"/>
  <c r="G747" i="7"/>
  <c r="G751" i="7" s="1"/>
  <c r="K142" i="8" l="1"/>
  <c r="K143" i="8" s="1"/>
  <c r="K144" i="8" s="1"/>
  <c r="K148" i="8" s="1"/>
  <c r="J143" i="8"/>
  <c r="J144" i="8" s="1"/>
  <c r="J148" i="8" s="1"/>
  <c r="C150" i="8" l="1"/>
  <c r="C58" i="6"/>
  <c r="C59" i="6" s="1"/>
  <c r="C60" i="6" s="1"/>
  <c r="C61" i="6" s="1"/>
  <c r="C62" i="6" s="1"/>
  <c r="C63" i="6" s="1"/>
  <c r="C64" i="6" s="1"/>
  <c r="C94" i="6" s="1"/>
  <c r="C140" i="6" s="1"/>
  <c r="C57" i="6"/>
  <c r="D58" i="6"/>
  <c r="D59" i="6" s="1"/>
  <c r="D60" i="6" s="1"/>
  <c r="D61" i="6" s="1"/>
  <c r="D62" i="6" s="1"/>
  <c r="D63" i="6" s="1"/>
  <c r="D64" i="6" s="1"/>
  <c r="D94" i="6" s="1"/>
  <c r="D140" i="6" s="1"/>
  <c r="D57" i="6"/>
  <c r="I428" i="6"/>
  <c r="C473" i="6"/>
  <c r="D478" i="6" s="1"/>
  <c r="D497" i="6"/>
  <c r="D498" i="6" s="1"/>
  <c r="D503" i="6" s="1"/>
  <c r="D504" i="6" s="1"/>
  <c r="D466" i="6"/>
  <c r="D472" i="6" s="1"/>
  <c r="C431" i="6"/>
  <c r="D438" i="6" s="1"/>
  <c r="I430" i="6"/>
  <c r="I424" i="6"/>
  <c r="I425" i="6" s="1"/>
  <c r="D423" i="6"/>
  <c r="E423" i="6" s="1"/>
  <c r="F396" i="6"/>
  <c r="F380" i="6"/>
  <c r="C353" i="6"/>
  <c r="D346" i="6"/>
  <c r="E346" i="6" s="1"/>
  <c r="E352" i="6" s="1"/>
  <c r="E345" i="6"/>
  <c r="E344" i="6"/>
  <c r="F344" i="6" s="1"/>
  <c r="B387" i="5"/>
  <c r="C379" i="5"/>
  <c r="D334" i="5"/>
  <c r="H328" i="5" s="1"/>
  <c r="E326" i="5"/>
  <c r="J317" i="5" s="1"/>
  <c r="C315" i="5"/>
  <c r="J309" i="5" s="1"/>
  <c r="G251" i="5"/>
  <c r="L185" i="5"/>
  <c r="L234" i="5" s="1"/>
  <c r="C167" i="5"/>
  <c r="K141" i="5"/>
  <c r="K185" i="5" s="1"/>
  <c r="K234" i="5" s="1"/>
  <c r="J141" i="5"/>
  <c r="J185" i="5" s="1"/>
  <c r="I141" i="5"/>
  <c r="I185" i="5" s="1"/>
  <c r="H141" i="5"/>
  <c r="H185" i="5" s="1"/>
  <c r="G141" i="5"/>
  <c r="G185" i="5" s="1"/>
  <c r="G234" i="5" s="1"/>
  <c r="F141" i="5"/>
  <c r="F185" i="5" s="1"/>
  <c r="F234" i="5" s="1"/>
  <c r="E141" i="5"/>
  <c r="D141" i="5"/>
  <c r="C141" i="5"/>
  <c r="C111" i="5"/>
  <c r="E84" i="5"/>
  <c r="E85" i="5" s="1"/>
  <c r="B381" i="4"/>
  <c r="C370" i="4"/>
  <c r="H362" i="4"/>
  <c r="A361" i="4"/>
  <c r="A360" i="4"/>
  <c r="B266" i="4"/>
  <c r="H259" i="4"/>
  <c r="F251" i="4"/>
  <c r="F250" i="4"/>
  <c r="D210" i="4"/>
  <c r="D207" i="4"/>
  <c r="O347" i="1"/>
  <c r="N349" i="1" s="1"/>
  <c r="N347" i="1" s="1"/>
  <c r="F67" i="6" l="1"/>
  <c r="E103" i="6" s="1"/>
  <c r="I137" i="6" s="1"/>
  <c r="H61" i="6"/>
  <c r="D87" i="6"/>
  <c r="D133" i="6" s="1"/>
  <c r="H60" i="6"/>
  <c r="D249" i="5"/>
  <c r="B140" i="6"/>
  <c r="C90" i="6"/>
  <c r="C136" i="6" s="1"/>
  <c r="C89" i="6"/>
  <c r="C135" i="6" s="1"/>
  <c r="C88" i="6"/>
  <c r="C134" i="6" s="1"/>
  <c r="D89" i="6"/>
  <c r="D135" i="6" s="1"/>
  <c r="D88" i="6"/>
  <c r="D134" i="6" s="1"/>
  <c r="C87" i="6"/>
  <c r="C133" i="6" s="1"/>
  <c r="D93" i="6"/>
  <c r="D139" i="6" s="1"/>
  <c r="C93" i="6"/>
  <c r="C139" i="6" s="1"/>
  <c r="D92" i="6"/>
  <c r="D138" i="6" s="1"/>
  <c r="C92" i="6"/>
  <c r="C138" i="6" s="1"/>
  <c r="B138" i="6" s="1"/>
  <c r="D90" i="6"/>
  <c r="D136" i="6" s="1"/>
  <c r="D91" i="6"/>
  <c r="D137" i="6" s="1"/>
  <c r="C91" i="6"/>
  <c r="C137" i="6" s="1"/>
  <c r="F66" i="6"/>
  <c r="D103" i="6" s="1"/>
  <c r="I136" i="6" s="1"/>
  <c r="E466" i="6"/>
  <c r="E467" i="6" s="1"/>
  <c r="D467" i="6"/>
  <c r="D506" i="6"/>
  <c r="D508" i="6" s="1"/>
  <c r="G471" i="6" s="1"/>
  <c r="D424" i="6"/>
  <c r="D425" i="6" s="1"/>
  <c r="D426" i="6" s="1"/>
  <c r="D430" i="6"/>
  <c r="E424" i="6"/>
  <c r="E430" i="6"/>
  <c r="F423" i="6"/>
  <c r="I426" i="6"/>
  <c r="I431" i="6" s="1"/>
  <c r="D444" i="6" s="1"/>
  <c r="F347" i="6"/>
  <c r="F348" i="6" s="1"/>
  <c r="G344" i="6"/>
  <c r="G347" i="6" s="1"/>
  <c r="G348" i="6" s="1"/>
  <c r="D352" i="6"/>
  <c r="D347" i="6"/>
  <c r="D348" i="6" s="1"/>
  <c r="E347" i="6"/>
  <c r="E348" i="6" s="1"/>
  <c r="K235" i="5"/>
  <c r="G235" i="5"/>
  <c r="L235" i="5"/>
  <c r="J234" i="5"/>
  <c r="J235" i="5" s="1"/>
  <c r="I234" i="5"/>
  <c r="I235" i="5" s="1"/>
  <c r="H234" i="5"/>
  <c r="H235" i="5" s="1"/>
  <c r="D192" i="5"/>
  <c r="D191" i="5" s="1"/>
  <c r="K172" i="5" s="1"/>
  <c r="A364" i="4"/>
  <c r="F254" i="4"/>
  <c r="A338" i="3"/>
  <c r="F295" i="3"/>
  <c r="F296" i="3" s="1"/>
  <c r="C253" i="3"/>
  <c r="F193" i="3"/>
  <c r="G195" i="3"/>
  <c r="G197" i="3" s="1"/>
  <c r="F195" i="3" s="1"/>
  <c r="E147" i="3"/>
  <c r="E146" i="3"/>
  <c r="C108" i="3"/>
  <c r="E54" i="3"/>
  <c r="E53" i="3"/>
  <c r="E52" i="3"/>
  <c r="C368" i="1"/>
  <c r="F359" i="1"/>
  <c r="E361" i="1" s="1"/>
  <c r="E359" i="1" s="1"/>
  <c r="F332" i="1"/>
  <c r="E325" i="1"/>
  <c r="B133" i="6" l="1"/>
  <c r="I139" i="6"/>
  <c r="I135" i="6"/>
  <c r="I134" i="6"/>
  <c r="I138" i="6"/>
  <c r="B137" i="6"/>
  <c r="D250" i="5"/>
  <c r="D248" i="5" s="1"/>
  <c r="B139" i="6"/>
  <c r="B134" i="6"/>
  <c r="B135" i="6"/>
  <c r="B136" i="6"/>
  <c r="F96" i="6"/>
  <c r="D104" i="6" s="1"/>
  <c r="F97" i="6"/>
  <c r="E104" i="6" s="1"/>
  <c r="F466" i="6"/>
  <c r="F467" i="6" s="1"/>
  <c r="D469" i="6"/>
  <c r="D473" i="6" s="1"/>
  <c r="D479" i="6" s="1"/>
  <c r="E468" i="6"/>
  <c r="E469" i="6" s="1"/>
  <c r="D431" i="6"/>
  <c r="D439" i="6" s="1"/>
  <c r="D440" i="6" s="1"/>
  <c r="D441" i="6" s="1"/>
  <c r="D442" i="6" s="1"/>
  <c r="D443" i="6" s="1"/>
  <c r="E472" i="6"/>
  <c r="G423" i="6"/>
  <c r="F430" i="6"/>
  <c r="F424" i="6"/>
  <c r="E425" i="6"/>
  <c r="E426" i="6" s="1"/>
  <c r="E431" i="6" s="1"/>
  <c r="F349" i="6"/>
  <c r="F353" i="6" s="1"/>
  <c r="D349" i="6"/>
  <c r="D353" i="6" s="1"/>
  <c r="G349" i="6"/>
  <c r="G353" i="6" s="1"/>
  <c r="E349" i="6"/>
  <c r="E353" i="6" s="1"/>
  <c r="F196" i="3"/>
  <c r="E149" i="3"/>
  <c r="E55" i="3"/>
  <c r="D28" i="3"/>
  <c r="G276" i="5" l="1"/>
  <c r="E260" i="5"/>
  <c r="E263" i="5" s="1"/>
  <c r="F145" i="6"/>
  <c r="G466" i="6"/>
  <c r="G467" i="6" s="1"/>
  <c r="G468" i="6" s="1"/>
  <c r="G469" i="6" s="1"/>
  <c r="F446" i="6"/>
  <c r="F468" i="6"/>
  <c r="F469" i="6" s="1"/>
  <c r="F472" i="6"/>
  <c r="E473" i="6"/>
  <c r="D480" i="6" s="1"/>
  <c r="D481" i="6" s="1"/>
  <c r="F425" i="6"/>
  <c r="F426" i="6" s="1"/>
  <c r="F431" i="6" s="1"/>
  <c r="H423" i="6"/>
  <c r="G430" i="6"/>
  <c r="G424" i="6"/>
  <c r="G425" i="6" s="1"/>
  <c r="F416" i="1"/>
  <c r="F407" i="1"/>
  <c r="E409" i="1" s="1"/>
  <c r="E407" i="1" s="1"/>
  <c r="H246" i="2"/>
  <c r="G248" i="2" s="1"/>
  <c r="G247" i="2" s="1"/>
  <c r="E288" i="2"/>
  <c r="D286" i="2" s="1"/>
  <c r="D288" i="2" s="1"/>
  <c r="C286" i="2" s="1"/>
  <c r="C288" i="2" s="1"/>
  <c r="D294" i="2" s="1"/>
  <c r="F163" i="2"/>
  <c r="E161" i="2" s="1"/>
  <c r="E163" i="2" s="1"/>
  <c r="F152" i="2"/>
  <c r="F143" i="2"/>
  <c r="E141" i="2" s="1"/>
  <c r="E143" i="2" s="1"/>
  <c r="B106" i="2"/>
  <c r="A104" i="2" s="1"/>
  <c r="A106" i="2" s="1"/>
  <c r="G106" i="2"/>
  <c r="F104" i="2" s="1"/>
  <c r="F106" i="2" s="1"/>
  <c r="F96" i="2"/>
  <c r="E73" i="2"/>
  <c r="F76" i="2"/>
  <c r="E74" i="2" s="1"/>
  <c r="B48" i="2"/>
  <c r="C48" i="2"/>
  <c r="D48" i="2"/>
  <c r="E48" i="2"/>
  <c r="B288" i="1"/>
  <c r="D288" i="1"/>
  <c r="B296" i="1" s="1"/>
  <c r="B179" i="1"/>
  <c r="C179" i="1"/>
  <c r="D187" i="1"/>
  <c r="D113" i="1"/>
  <c r="H63" i="1"/>
  <c r="C66" i="1"/>
  <c r="D51" i="1"/>
  <c r="E192" i="1" l="1"/>
  <c r="B201" i="1"/>
  <c r="B199" i="1" s="1"/>
  <c r="G472" i="6"/>
  <c r="G426" i="6"/>
  <c r="G431" i="6" s="1"/>
  <c r="H424" i="6"/>
  <c r="H425" i="6" s="1"/>
  <c r="H430" i="6"/>
  <c r="E76" i="2"/>
  <c r="D79" i="2" s="1"/>
  <c r="D84" i="2" s="1"/>
  <c r="C201" i="1"/>
  <c r="C199" i="1" s="1"/>
  <c r="D199" i="1"/>
  <c r="D55" i="1"/>
  <c r="D107" i="1" s="1"/>
  <c r="C122" i="1" s="1"/>
  <c r="C124" i="1" s="1"/>
  <c r="G473" i="6" l="1"/>
  <c r="D482" i="6" s="1"/>
  <c r="F484" i="6" s="1"/>
  <c r="H426" i="6"/>
  <c r="H431" i="6" s="1"/>
</calcChain>
</file>

<file path=xl/sharedStrings.xml><?xml version="1.0" encoding="utf-8"?>
<sst xmlns="http://schemas.openxmlformats.org/spreadsheetml/2006/main" count="4984" uniqueCount="3347">
  <si>
    <t>בשונה מקבוצות קודמות - אתם כבר מכירים אותי, לכן נקצר תהליכים:</t>
  </si>
  <si>
    <t xml:space="preserve">כל החומרים הכתובים - ייכללו ב-Excel הנוכחי שיתעדכן ממפגש למפגש. </t>
  </si>
  <si>
    <t>עיקר הדגשים יהיו יישומיים - אופן פתרון של תרגילי בית והקשר לבחינות לדוגמא שיילך ויתבהר בשלהי הסמסטר.</t>
  </si>
  <si>
    <t>שאלות לגבי תכני השיעורים - למרצה, פרופ׳ עבודי.</t>
  </si>
  <si>
    <t xml:space="preserve">אופן הלימוד: יבוסס על מחשבון פיננסי (קצר יותר, יעיל יותר, ודומה יותר ל-Excel שהוא מימון בעולם האמיתי). </t>
  </si>
  <si>
    <t>אם תדרשו באופן רחב דווקא לעבוד עם מתמטיקות - אעשה זאת. יפגע מהותית בהספק ובעיקרון לא מומלץ מנסיון</t>
  </si>
  <si>
    <t xml:space="preserve">של סמסטרים רבים קודמים. </t>
  </si>
  <si>
    <t xml:space="preserve">הקלטות התרגולים - זמינות באתר בדרך כלל כיממה לאחר המפגש. </t>
  </si>
  <si>
    <t>התייחסות קצרה לשאלות / תהיות הסטודנטים/ות:</t>
  </si>
  <si>
    <t>ערך נוכחי מתייחס לשווי היום של תזרימי מזומנים עתידיים.</t>
  </si>
  <si>
    <t>ככל שתזרים מזומנים מרוחק יותר, ערכו היום נמוך יותר. ומדוע? לאור אלמנט החמצת התשואה; ככל שהתזרים</t>
  </si>
  <si>
    <t>מרוחק ממני, אני ״מחמיץ״ זמן רב יותר שבו הפריט לא בידיי, ובמהלכו אני ״מפספס״ תשואה אלטרנטיבית.</t>
  </si>
  <si>
    <t xml:space="preserve">לכן יש להתחשב בתשואה אלטרנטיבית זו (שברוב התרגילים נקראת פשוט ״ריבית״) כדי לחשב ערך נוכחי </t>
  </si>
  <si>
    <t xml:space="preserve">של תזרים מזומנים או תזרימי מזומנים עתידיים. </t>
  </si>
  <si>
    <t>בתאריך 1/4/2024 הוצגו בפניכם השיקים הדחויים הבאים:</t>
  </si>
  <si>
    <t>מספר שיק</t>
  </si>
  <si>
    <t>תאריך פירעון</t>
  </si>
  <si>
    <t>סכום - ש״ח</t>
  </si>
  <si>
    <t xml:space="preserve">הניחו כי הריבית החודשית היא 1%. </t>
  </si>
  <si>
    <t>ערך נוכחי</t>
  </si>
  <si>
    <t>פירוט חישוב</t>
  </si>
  <si>
    <t>סה״כ</t>
  </si>
  <si>
    <t>אופן היישום במחשבון פיננסי:</t>
  </si>
  <si>
    <t>א. מהו הערך הנוכחי של כל אחד מהשיקים והערך הנוכחי המצרפי של כלל השיקים? השלימו זאת בטבלה להלן:</t>
  </si>
  <si>
    <t>ב. מוצע לכם שיק בודד, שמועד פרעונו 30/10/2024, כחלופה לצרור השיקים הנ״ל. מהו סכום השיק שתדרשו?</t>
  </si>
  <si>
    <t>מירב יכולה להשקיע באחת מבין 3 מכונות לחימום נקניק, שתזרימיהן כדלקמן:</t>
  </si>
  <si>
    <t>מכונת זק״ש</t>
  </si>
  <si>
    <t>מכונת פיליפס</t>
  </si>
  <si>
    <t>מכונת שושי</t>
  </si>
  <si>
    <t>שנה</t>
  </si>
  <si>
    <t xml:space="preserve">בהנחה שהריבית השנתית היא 4% ותזרימי המזומנים מהנכסים מתקבלים בתום כל שנה, חשבו את השווי של </t>
  </si>
  <si>
    <t>כל אחד מהנכסים.</t>
  </si>
  <si>
    <t>שאלה 2 - ערך נוכחי כשיקוף שווי נכס, והמשמעות הנובעת מכך</t>
  </si>
  <si>
    <t>שאלה 3 - ערך נוכחי בתור סכום חד פעמי חלף הסדר תשלומים</t>
  </si>
  <si>
    <t>מירב זכתה בלוטו ובאפשרותה לקבל את כספי הזכייה באחד מבין המסלולים הבאים:</t>
  </si>
  <si>
    <t xml:space="preserve">א. קבלת 10,000 ש״ח בתחילת כל רבעון במשך 20 רבעונים. </t>
  </si>
  <si>
    <t xml:space="preserve">ב. קבלת סכום חד פעמי היום (מיד). </t>
  </si>
  <si>
    <t>בהנחה ששיעור הריבית הרבעונית הנו 3%, מהו הסכום החד פעמי המינימלי שתדרוש מירב על מנת שתבחר בו</t>
  </si>
  <si>
    <t>ולא בהסדר התשלומים?</t>
  </si>
  <si>
    <t>שאלה 4 - אם נספיק - ערך נוכחי של סדרה אינסופית ושילוב סדרות</t>
  </si>
  <si>
    <t xml:space="preserve">מירב מעוניינת להשקיע במכונה לחימום נקניק. המכונה צפויה להניב לה 70,000 ש״ח בסוף כל שנה, לנצח. </t>
  </si>
  <si>
    <t>א. בהנחה שהריבית השנתית של מירב היא 7%, מהו שווי מכונת הנקניק?</t>
  </si>
  <si>
    <t xml:space="preserve">ב. כיצד תשתנה תשובתכם אם ידוע שהתזרים בתום כל שנה 10 שנים יהיה 70,000 ש״ח, אך התזרים בתום כל שנה </t>
  </si>
  <si>
    <t>עוקבת (עד אינסוף) יהיה 90,000 ש״ח?</t>
  </si>
  <si>
    <t>שאלה 1 - ערך נוכחי של מספר תזרימים שונים (שימוש בנוסחת ערך נוכחי של סכום יחיד וקיצור דרך)</t>
  </si>
  <si>
    <t>שאלה 5 - אם נספיק - שילוב סדרות נוסף</t>
  </si>
  <si>
    <t>מירב יכולה לקבל תקבולים שנתיים של 20,000 ש״ח בתום כל שנה במשך 10 שנים, כאשר בתום כל אחת מ-15</t>
  </si>
  <si>
    <t xml:space="preserve">השנים העוקבות תזכה בתקבול שנתי של 14,000 ש״ח. </t>
  </si>
  <si>
    <t xml:space="preserve">היא יכולה להחליף את המבנה התזרימי המובטח הזה בסכום חד פעמי בגובה 400,000 ש״ח בתום השנה ה-10. </t>
  </si>
  <si>
    <t>בהנחה שהריבית השנתית היא 10%, איזו חלופה תעדיף מירב?</t>
  </si>
  <si>
    <t>שייקה, האם אתה עובר על תרגילי הבית מטעם המרצה?</t>
  </si>
  <si>
    <t xml:space="preserve">התשובה: לא, אבל אני דואג לכתוב למענכם תרגילים דומים מאד ולתת את הכיוון הכללי שמספק לפתרונם. </t>
  </si>
  <si>
    <t>ככל שנתקדם בחומר, הדגשים התרגוליים יהפכו להיות יותר מוטי בחינה ופחות מוטי תרגילי בית אם כי תמיד נשלב.</t>
  </si>
  <si>
    <t xml:space="preserve">ערך נוכחי = השווי בהווה (היום) של תזרים / תזרימי מזומנים עתידיים, בהתחשב בהשלכות הכלכליות של הדחייה - </t>
  </si>
  <si>
    <t>ריבית. כדי לחשב ערך נוכחי של סכום יחיד (תזרים בודד): מחלקים את הסכום העתידי ב-1 ועוד הריבית בחזקת</t>
  </si>
  <si>
    <t xml:space="preserve">מספר תקופות הריבית. </t>
  </si>
  <si>
    <t xml:space="preserve">PV = FV/(1+r)^n </t>
  </si>
  <si>
    <t xml:space="preserve">10,000 / (1 + 1%)^1 = </t>
  </si>
  <si>
    <t xml:space="preserve">19,000 / (1 + 1%)^6 = </t>
  </si>
  <si>
    <t>דרך ראשונה - מתאימה לחישובי ערך נוכחי</t>
  </si>
  <si>
    <t>CMPD</t>
  </si>
  <si>
    <t>Set:</t>
  </si>
  <si>
    <t>n</t>
  </si>
  <si>
    <t>I%</t>
  </si>
  <si>
    <t>PV</t>
  </si>
  <si>
    <t>PMT</t>
  </si>
  <si>
    <t>FV</t>
  </si>
  <si>
    <t>רלוונטי רק לסדרות קבועות</t>
  </si>
  <si>
    <t>מספר תקופות הריבית</t>
  </si>
  <si>
    <t>ריבית תקופתית</t>
  </si>
  <si>
    <t>הערך הנוכחי (הערך המחושב)</t>
  </si>
  <si>
    <t>רלוונטי רק לסדרות (אחרת - 0)</t>
  </si>
  <si>
    <t>סכום חד פעמי עתידי</t>
  </si>
  <si>
    <t>איפוס המחשבון הפיננסי לפני תחילת עבודה:</t>
  </si>
  <si>
    <t>Shift + 9 + Down arrow * 2 [all] + EXE * 2 + AC</t>
  </si>
  <si>
    <t>End</t>
  </si>
  <si>
    <t>שיק 123</t>
  </si>
  <si>
    <t>SOLVE</t>
  </si>
  <si>
    <t>התוצאה המתקבלת היא שלילית, ובבחינה תסמנו את ערכה המוחלט.</t>
  </si>
  <si>
    <t>הסיבה לתוצאה שלילית היא החשיבה הכלכלית של Excel:</t>
  </si>
  <si>
    <t>אם אתה מבטיח לי שאקבל (בסימן חיובי) 10,000, כנראה אסכים</t>
  </si>
  <si>
    <t xml:space="preserve">לשלם על זה (בסימן שלילי) 9,900. </t>
  </si>
  <si>
    <t>דרך שניה - מתאימה לחישובי ערך נוכחי</t>
  </si>
  <si>
    <t>של סכום בודד ״קרוב״ או סכומים משתנים:</t>
  </si>
  <si>
    <t>CASH</t>
  </si>
  <si>
    <t>ריבית תקופ׳</t>
  </si>
  <si>
    <t>EXE</t>
  </si>
  <si>
    <t>X</t>
  </si>
  <si>
    <t>&lt;&lt;&lt;</t>
  </si>
  <si>
    <t>ESC</t>
  </si>
  <si>
    <t xml:space="preserve">NPV = </t>
  </si>
  <si>
    <t xml:space="preserve">שימוש ב - CASH מוביל לתוצאה בסימן הטבעי שלה, ללא הפיכות </t>
  </si>
  <si>
    <t xml:space="preserve">סימן. </t>
  </si>
  <si>
    <t>למעשה, חישבנו בסעיף א גם את השווי היום (ערך נוכחי) של כל שיק בנפרד, וגם סכמנו וקיבלנו את השווי הכולל</t>
  </si>
  <si>
    <t>במונחי ערך נוכחי של כלל השיקים יחדיו:</t>
  </si>
  <si>
    <t>הואיל והשיק הבודד יתקבל רק בעוד 7 חודשים מהיום (היום 1.4, והשיק הבודד בעל זמן פירעון של 30.10), הרי</t>
  </si>
  <si>
    <t xml:space="preserve">שנדרוש לקבל את הערך הנוכחי בתוספת פיצוי - צבירת ריבית ל-7 חודשים אלו. </t>
  </si>
  <si>
    <t>מתמטית - החישוב של צבירת הריבית במשך 7 חודשים נוספים:</t>
  </si>
  <si>
    <t xml:space="preserve">109,178 * (1 + 1%)^7 = </t>
  </si>
  <si>
    <t>התשובה:</t>
  </si>
  <si>
    <t xml:space="preserve">במחשבון פיננסי - חישוב הערך העתידי FV של הסכום היחיד המשקף את השווי של צרור השיקים (PV) </t>
  </si>
  <si>
    <t>יחושב ב - CMPD:</t>
  </si>
  <si>
    <t>ומה עם יישומי CASH?</t>
  </si>
  <si>
    <t xml:space="preserve">לא רלוונטי בצורה ישירה לחישוב ערך עתידי / צבירת </t>
  </si>
  <si>
    <t>ריבית לעתיד, אלא לחישובי ערך נוכחי...</t>
  </si>
  <si>
    <t>נתחיל מהדרך הקלה - שהכי פשוט ליישם כאשר ישנם מספר תזרימים לא רב מדי, מרווח הזמן ביניהם קבוע והריבית קבועה - CASH:</t>
  </si>
  <si>
    <t>csh = d. edtior &gt;&gt;&gt;&gt;</t>
  </si>
  <si>
    <t>זק״ש</t>
  </si>
  <si>
    <t>פיליפס</t>
  </si>
  <si>
    <t>שושי</t>
  </si>
  <si>
    <t>בטכניקה אחרת, שהוא יותר מוגבל - אבל מסייע לפתרון מהיר במצבים שבהם קיימים תזרימים רבים:</t>
  </si>
  <si>
    <t>Set</t>
  </si>
  <si>
    <t>הגדרת חישוב סדרה שאיבריה ״בתום כל תקופה״</t>
  </si>
  <si>
    <t>מספר תזרימי המזומנים הקבועים בסדרה (לא מספר התקופות)</t>
  </si>
  <si>
    <t>בחישוב סדרתי - חייב להתאים לתקופת תשלום</t>
  </si>
  <si>
    <t>בסוף התהליך</t>
  </si>
  <si>
    <t>התשלום התקופתי הקבוע</t>
  </si>
  <si>
    <t>תזרים מזומנים חד פעמי נוסף במועד התזרים האחרון</t>
  </si>
  <si>
    <t xml:space="preserve">ערך נוכחי של סדרה קבועה שמחושב ב-CMPD או בנוסחה </t>
  </si>
  <si>
    <t>מוביל תמיד לנקודת הזמן שמוקדמת בתקופת תשלום אחת ממועד התזרים הראשון בסדרה</t>
  </si>
  <si>
    <t xml:space="preserve">גם כאן חושב ערך נוכחי של סדרה קבועה. אלא, שעיתוי התזרים הראשון בסדרה זו היה זמן 2. </t>
  </si>
  <si>
    <t xml:space="preserve">העקרון שלפיו ערך נוכחי של סדרה קבועה מוביל ״אחת אחורה״ משמעו שהתוצאה שקיבלנו היא שווי ל״זמן 1״. </t>
  </si>
  <si>
    <t>כדי לתרגם את התוצאה תקופת תשלום נוספת אחורה (מזמן 1 לזמן 0) אפשר לפעול כך:</t>
  </si>
  <si>
    <t xml:space="preserve">32,669.06 / (1 + 4%)^1 = </t>
  </si>
  <si>
    <t xml:space="preserve">כי המטרה של צעד חישוב זה היא לתאם את התוצאה שהתקבלה מזמן 1 לזמן 0. </t>
  </si>
  <si>
    <t>הריבית נתונה</t>
  </si>
  <si>
    <t>ה-PV של החישוב הקודם שהוביל לזמן 1 - הופך להיות ה - FV של חישוב ההתאמה</t>
  </si>
  <si>
    <t>אפשרות אחרת היא לתאם את ה - PV של צעד החישוב הקודם תקופה נוספת אחורה:</t>
  </si>
  <si>
    <t>חישוב זה</t>
  </si>
  <si>
    <t>מוביל</t>
  </si>
  <si>
    <t>אחת</t>
  </si>
  <si>
    <t>אחורה</t>
  </si>
  <si>
    <t>ביחס לתזרים</t>
  </si>
  <si>
    <t>הראשון</t>
  </si>
  <si>
    <t>כלומר</t>
  </si>
  <si>
    <t>אחת לפני</t>
  </si>
  <si>
    <t>זמן 8</t>
  </si>
  <si>
    <t>קרי לזמן 7</t>
  </si>
  <si>
    <t>אין</t>
  </si>
  <si>
    <t>צורך</t>
  </si>
  <si>
    <t>בהתאמות</t>
  </si>
  <si>
    <t>מיני תמצית:</t>
  </si>
  <si>
    <t>א. נחשב PV לסדרת התשלומים - תוך התעלמות מוחלטת מתקופת הדחייה / תאריך ההתחלה (מספר התזרימים הוא החשוב).</t>
  </si>
  <si>
    <t>ב. נתייחס ל-PV שהתקבל בשלב א כאל FV (בסימן הפוך) כאשר ב-n נזין את מספר תקופות ההתאמה לאחור:</t>
  </si>
  <si>
    <t>שהוא לפי עיתוי תחילת התזרימים פחות אחת = n</t>
  </si>
  <si>
    <t>התשובות:</t>
  </si>
  <si>
    <t>פתרון:</t>
  </si>
  <si>
    <t xml:space="preserve">באופן כללי - סכום מזומן שמקבלים היום הוא תמיד בגדר ערך נוכחי. </t>
  </si>
  <si>
    <r>
      <t>הואיל ואנו זכאים להסדר תשלומים, נרצה סכום מזומן ש</t>
    </r>
    <r>
      <rPr>
        <u/>
        <sz val="12"/>
        <color theme="1"/>
        <rFont val="David"/>
        <family val="2"/>
        <charset val="177"/>
      </rPr>
      <t>לא יפחת</t>
    </r>
    <r>
      <rPr>
        <sz val="12"/>
        <color theme="1"/>
        <rFont val="David"/>
        <family val="2"/>
        <charset val="177"/>
      </rPr>
      <t xml:space="preserve"> מהערך הנוכחי PV של הסדרה.</t>
    </r>
  </si>
  <si>
    <t>בפשטות:</t>
  </si>
  <si>
    <t>הסכום המינימלי שנדרוש במקום הסדר תשלומים הוא הערך הנוכחי של אותו הסדר.</t>
  </si>
  <si>
    <t>הואיל וסדרת תזרימי המזומנים היא קבועה וארוכה נחשב את הערך הנוכחי באמצעות CMPD:</t>
  </si>
  <si>
    <t>Begin</t>
  </si>
  <si>
    <t>כאשר מסמנים פרמטר זה, תוצאת חישוב PV מובילה בדיוק למועד התזרים הראשון</t>
  </si>
  <si>
    <t xml:space="preserve">כאשר סדרה מתחילה בזמן 0, חישוב ערכה הנוכחי בצורה מהירה ויעילה יכול להתבצע עם SET = BEGIN. </t>
  </si>
  <si>
    <t>מצב כזה גורם למחשבון הפיננסי לבטא את התוצאה בדיוק למועד התזרים הראשון (שכאן זה זמן 0) ולא אחת אחורה (כך נמנעים ממצב שבו הערך מבוטא לזמן 1-).</t>
  </si>
  <si>
    <t>מספר תזרימי המזומנים בסדרה ללא תלות בעיתוי תחילתם</t>
  </si>
  <si>
    <t xml:space="preserve">אפשר גם לחשב באמצעות Set End, כאשר במצב כזה - הואיל והתזרים הראשון בזמן 0, הקפיצה אחת אחורה תוביל את התוצאה לזמן 1-, </t>
  </si>
  <si>
    <t>מה שידרוש התאמה תקופת אחת קדימה על ידי מכפלה ב-1 ועוד הריבית.</t>
  </si>
  <si>
    <t>לזמן 0, סופי</t>
  </si>
  <si>
    <t>לזמן 1-</t>
  </si>
  <si>
    <t>דורש התאמה</t>
  </si>
  <si>
    <t>ע״י:</t>
  </si>
  <si>
    <t xml:space="preserve">148,774.75 * (1 + 3%) = </t>
  </si>
  <si>
    <t>תרגול 2 - עקרונות המימון - בהדגש ערך עתידי ויישומים</t>
  </si>
  <si>
    <t>ערך עתידי:</t>
  </si>
  <si>
    <t>משקף צבירת ריבית על סכום יחיד או מספר סכומים (סדרה) באופן שמראה את קרן ההשקעה / ההלוואה בתוספת</t>
  </si>
  <si>
    <t xml:space="preserve">הריבית. </t>
  </si>
  <si>
    <t>גם כאן, הדגש שלנו יהיה על זיהוי המקרה והכלים הטכניים המשרתים אותנו אגב הצבירה על בסיס מחשבון פיננסי.</t>
  </si>
  <si>
    <t>ד״ר גרוסמן יכול להפקיד באחת מבין תוכניות החסכון הבאות:</t>
  </si>
  <si>
    <t>תוכנית</t>
  </si>
  <si>
    <t>א</t>
  </si>
  <si>
    <t>ב</t>
  </si>
  <si>
    <t>ג</t>
  </si>
  <si>
    <t>ד</t>
  </si>
  <si>
    <t>הפקדה לשנה</t>
  </si>
  <si>
    <t>שנות הפקדה</t>
  </si>
  <si>
    <t>ריבית שנתית</t>
  </si>
  <si>
    <t>כאשר תום התקופה מוגדר בתום שנת ההפקדה האחרונה (לפי מספר שנות ההפקדה בעמודה הרלוונטית)?</t>
  </si>
  <si>
    <t>שאלה 1 - ערך עתידי של סדרות - תזרימי ״תום תקופה״</t>
  </si>
  <si>
    <t>1.4א</t>
  </si>
  <si>
    <t>1.4ב</t>
  </si>
  <si>
    <t>פרופ׳ עבודי יכול להפקיד באחת מבין תוכניות החסכון הבאות:</t>
  </si>
  <si>
    <r>
      <t>אם ידוע שפדיון התוכנית היא ב</t>
    </r>
    <r>
      <rPr>
        <u/>
        <sz val="12"/>
        <color theme="1"/>
        <rFont val="David"/>
        <family val="2"/>
        <charset val="177"/>
      </rPr>
      <t>תום</t>
    </r>
    <r>
      <rPr>
        <sz val="12"/>
        <color theme="1"/>
        <rFont val="David"/>
        <family val="2"/>
        <charset val="177"/>
      </rPr>
      <t xml:space="preserve"> השנה שבה מבוצעת ההפקדה האחרונה? </t>
    </r>
  </si>
  <si>
    <t>הדרכה: בצעו חישוב ב-2 דרכים. האחת תוך שימוש ב-Set=End והתאמה רלוונטית. השניה תוך שימוש ב - Set=Begin</t>
  </si>
  <si>
    <t>השוו בין התוצאות המתקבלות.</t>
  </si>
  <si>
    <t>שאלה 2 - ערך עתידי של סדרות - תזרימי ״תום תקופה״ עם תקופת המתנה / צבירה נוספת</t>
  </si>
  <si>
    <t>1.4ג</t>
  </si>
  <si>
    <t>דינה יכולה להפקיד באחת מבין תוכניות החסכון הבאות:</t>
  </si>
  <si>
    <t>מהו הסכום הכולל שיעמוד לרשותה של דינה בתום תקופת החסכון בכל אחת מהתוכניות אם ידוע שהסכום הכולל</t>
  </si>
  <si>
    <t>שיצטבר במועד ההפקדה האחרונה ימשיך לצבור ריבית עד לתום השנה ה-9?</t>
  </si>
  <si>
    <t>מיני רציו:</t>
  </si>
  <si>
    <t xml:space="preserve">ערך עתידי של סדרה קבועה מחושב באמצעות CMPD. </t>
  </si>
  <si>
    <t>תוצאת החישוב מובילה לערך הנצבר בדיוק למועד ההפקדה האחרונה (Set = End)</t>
  </si>
  <si>
    <t xml:space="preserve">אם נדרשת התאמה נוספת, יש לבצעה בתהליך נפרד (במחשבון / מתמטי). </t>
  </si>
  <si>
    <t>איזון אקטוארי</t>
  </si>
  <si>
    <t>סוגיה מעניינת שמשלבת בין חישובי ערך נוכחי ועתידי היא הסוגיה שבמסגרתה מפקידים סדרת סכומים (כגון</t>
  </si>
  <si>
    <t>הפרשות לפנסיה) על מנת למשוך סדרת סכומים בהמשך (כגון קצבאות).</t>
  </si>
  <si>
    <t>הערך הנוכחי של המשיכות</t>
  </si>
  <si>
    <t>חייב להיות זהה לערך העתידי של ההפקדות</t>
  </si>
  <si>
    <t>כשהערכים מתואמים ״לאותה נקודת זמן״</t>
  </si>
  <si>
    <t>משפט כללי זה דורש כמובן המחשה לגבי אופן יישומו במחשבון, נציג את זה בתרגול להלן.</t>
  </si>
  <si>
    <t>שאלה 3 - ערך עתידי של סדרות - תזרימי ״תחילת תקופה״</t>
  </si>
  <si>
    <t xml:space="preserve">פלפולוני בן 50 היום. הוא קם בבוקר וחטף שוק שעדיין לא התחיל לחסוך לפנסיה. הוא מתכוון לפרוש לפנסיה </t>
  </si>
  <si>
    <t>מאוחרת בגיל 72, והחל ממועד זה, בתום כל שנה, מתכנן למשוך קצבה של 19,000 בתום כל שנה במשך 25 שנים.</t>
  </si>
  <si>
    <t>מהו הסכום הקבוע שפלפולוני צריך להפקיד בתום כל שנה על מנת לעמוד ביעד הקצבה?</t>
  </si>
  <si>
    <t>שאלה 5 - חילוץ סכום הפקדה תקופתי לשם הגעה ליעד מוגדר בהינתן השתנות ריבית</t>
  </si>
  <si>
    <t>אלפרדו אנגולו יכול להפקיד לחסכון סכום קבוע בתום כל שנה.</t>
  </si>
  <si>
    <t>החסכון נושא ריבית שנתית כדלקמן:</t>
  </si>
  <si>
    <t>משנה</t>
  </si>
  <si>
    <t>עד שנה</t>
  </si>
  <si>
    <t>נדרש: מהו הסכום הקבוע שנדרש להפקיד על מנת שיעמדו לרשותו של אלפרדו 500,000 ש״ח בעוד 20 שנה?</t>
  </si>
  <si>
    <t>הערה לעצמי:</t>
  </si>
  <si>
    <t>אם יישר זמן ואני בספק</t>
  </si>
  <si>
    <t>להתחיל בקטנה סדרות אינסופיות</t>
  </si>
  <si>
    <t>לוחות סילוקין</t>
  </si>
  <si>
    <t>ריבית</t>
  </si>
  <si>
    <t>מה שיותר חשוב להם.</t>
  </si>
  <si>
    <t>הצורך לחשב צבירה בעתיד כולל ריבית של סכום או סכומים מופקדים או מולווים הוא למעשה צורך בחישוב</t>
  </si>
  <si>
    <t xml:space="preserve">ערך עתידי FV. </t>
  </si>
  <si>
    <t>הדרך לחישוב ערך עתידי - מתבססת על הגדרות דומות למדי לחישובי ערך נוכחי PV, בשינויים מתחייבים של הערך</t>
  </si>
  <si>
    <t>המחולץ.</t>
  </si>
  <si>
    <t xml:space="preserve">העבודה עם FV תתבסס בעיקר על CMPD. </t>
  </si>
  <si>
    <t>מספר ההפקדות</t>
  </si>
  <si>
    <t>ריבית לתקופת תשלום</t>
  </si>
  <si>
    <t>סכום ההפקדה התקופתיתת</t>
  </si>
  <si>
    <t>סכום יחיד ראשוני המופקד בזמן 0</t>
  </si>
  <si>
    <t>Solve</t>
  </si>
  <si>
    <t>נוסחה מתמטית לערך עתידי סדרתי:</t>
  </si>
  <si>
    <t>יישום הנוסחה המתמטית למקרה א:</t>
  </si>
  <si>
    <t>חישוב</t>
  </si>
  <si>
    <t>ערך עתידי</t>
  </si>
  <si>
    <t>של סדרה</t>
  </si>
  <si>
    <t>מוביל תמיד</t>
  </si>
  <si>
    <t>לסך הצבירה</t>
  </si>
  <si>
    <t>נכון</t>
  </si>
  <si>
    <t>לנקודת</t>
  </si>
  <si>
    <t>הזמן</t>
  </si>
  <si>
    <t xml:space="preserve">עיתוי </t>
  </si>
  <si>
    <t>בסדרה</t>
  </si>
  <si>
    <t xml:space="preserve">התזרים האחרון </t>
  </si>
  <si>
    <t>של</t>
  </si>
  <si>
    <t>FV(3)</t>
  </si>
  <si>
    <t>א לזמן 3</t>
  </si>
  <si>
    <t>א לזמן 9</t>
  </si>
  <si>
    <t>התשובה</t>
  </si>
  <si>
    <t>או:</t>
  </si>
  <si>
    <t xml:space="preserve">1576.25 * (1 + 5%)^6 = </t>
  </si>
  <si>
    <t>דחיפה ״ידנית״ של התוצאה ממועד הפקדה האחרונה ליעד</t>
  </si>
  <si>
    <t>יישום נוסחה מתמטית של ערך עתידי סדרתי למועד הפקדה אחרונה</t>
  </si>
  <si>
    <t>קרי לזמן 3</t>
  </si>
  <si>
    <t>התאמה מזמן 3</t>
  </si>
  <si>
    <t>לזמן 9</t>
  </si>
  <si>
    <t>ב לזמן 9</t>
  </si>
  <si>
    <t>FV(9)</t>
  </si>
  <si>
    <t>בשונה מתוכנית א, שעיתוי הפקדתה האחרונה בזמן 3,</t>
  </si>
  <si>
    <t xml:space="preserve">אך עיתוי פרעונה בזמן 9, מה שדרש התאמה (מ-3 ל-9), </t>
  </si>
  <si>
    <t>תוכנית זו כוללת עיתוי הפקדה אחרונה בזמן 9 וגם</t>
  </si>
  <si>
    <t>פירעון בזמן 9. לכן כאן אין צורך בהתאמה.</t>
  </si>
  <si>
    <t>תשובה סופית</t>
  </si>
  <si>
    <t>ג לזמן 9</t>
  </si>
  <si>
    <t>ג לזמן 4</t>
  </si>
  <si>
    <t>ד לזמן 6</t>
  </si>
  <si>
    <t>ד לזמן 9</t>
  </si>
  <si>
    <t>תשובה ג</t>
  </si>
  <si>
    <t>תשובה ד</t>
  </si>
  <si>
    <t>נביט למשל על תכנית א ונציג את תזרימי המזומנים שלה על ציר הזמן.</t>
  </si>
  <si>
    <t xml:space="preserve">הואיל וההפקדות הן בתחילת תקופה, מיקומן על הציר הוא ״אחת לפני״ מיקומן הטבעי. </t>
  </si>
  <si>
    <t>בתום כל שנה 5 שנים</t>
  </si>
  <si>
    <t>בתחילת כל שנה 5 שנים:</t>
  </si>
  <si>
    <t>פדיון</t>
  </si>
  <si>
    <t>א לזמן 4</t>
  </si>
  <si>
    <t>א לזמן 5</t>
  </si>
  <si>
    <t xml:space="preserve">אם עובדים ב - Set שהוא End, </t>
  </si>
  <si>
    <t>תמיד תוצאת החישוב היא למועד ההפקדה האחרונה.</t>
  </si>
  <si>
    <t xml:space="preserve">ואם ההפקדה האחרונה היא בתחילת 5 (סוף 4), </t>
  </si>
  <si>
    <t>והפדיון הוא בתום 5, תדרש התאמה</t>
  </si>
  <si>
    <t xml:space="preserve">של תקופה נוספת מ-4 ל-5. </t>
  </si>
  <si>
    <t>דרך נוספת וישירה יותר שמתאימה לתזרימי</t>
  </si>
  <si>
    <t>תחילת תקופה שנפדים בתום תקופה.</t>
  </si>
  <si>
    <t>אם עובדים ב - Set שהוא Begin</t>
  </si>
  <si>
    <t>המחשבון יחשב אוטומטית צבירת ריבית נוספת</t>
  </si>
  <si>
    <t>של תקופה אחת על הסכום הנצבר למועד</t>
  </si>
  <si>
    <t xml:space="preserve">ההפקדה האחרונה. </t>
  </si>
  <si>
    <t>אז אם ההפקדה האחרונה היא ב-4 (תחילת 5)</t>
  </si>
  <si>
    <t>אבל הפירעון בתום 5, שימוש ב - Begin שבהגדרה</t>
  </si>
  <si>
    <t>דוחף אחת קדימה - יוביל לתשובה הסופית.</t>
  </si>
  <si>
    <t>ב לזמן 3</t>
  </si>
  <si>
    <t>ב לזמן 2</t>
  </si>
  <si>
    <t>ההפקדות בתום כל שנה, והפרעון בתום השנה ה-20 בתשלום אחד.</t>
  </si>
  <si>
    <t>לזמן 3</t>
  </si>
  <si>
    <t>לזמן 20</t>
  </si>
  <si>
    <t>בהתאם לתחשיב לעיל אוכל להסיק שהפקדה רציפה של 1 ש״ח במשך 20 שנה מובילה לצבירה של 36.46 ש״ח.</t>
  </si>
  <si>
    <t>אם אפקיד x ש״ח המטרה להגיע ל-500,000:</t>
  </si>
  <si>
    <t>36.46x = 500,000</t>
  </si>
  <si>
    <t xml:space="preserve">x = </t>
  </si>
  <si>
    <t>דרך נוספת - מתמטית / יעלית:</t>
  </si>
  <si>
    <t>בהינתן העובדה שסכום ההפקדה איננו ידוע והוא למעשה x, במקרים רבים לחלק מכם נוח לעבוד</t>
  </si>
  <si>
    <t xml:space="preserve">עם הנוסחה המתמטית ומלכתחילה לבנות משוואה. </t>
  </si>
  <si>
    <t>ואז מחלצים את x ושיהיה בתיאבון.</t>
  </si>
  <si>
    <t>בן 50</t>
  </si>
  <si>
    <t>בן 72</t>
  </si>
  <si>
    <t>בן 51</t>
  </si>
  <si>
    <t>בן 73</t>
  </si>
  <si>
    <t>סדרת הפקדות</t>
  </si>
  <si>
    <t>סכום הפקדה</t>
  </si>
  <si>
    <t>?</t>
  </si>
  <si>
    <t>מספר הפקדות</t>
  </si>
  <si>
    <t>סדרת משיכות:</t>
  </si>
  <si>
    <t>סכום משיכה</t>
  </si>
  <si>
    <t>מס׳ משיכות</t>
  </si>
  <si>
    <r>
      <t xml:space="preserve">כאשר אני מזהה </t>
    </r>
    <r>
      <rPr>
        <u/>
        <sz val="12"/>
        <color theme="1"/>
        <rFont val="David"/>
        <family val="2"/>
        <charset val="177"/>
      </rPr>
      <t>סדרת</t>
    </r>
    <r>
      <rPr>
        <sz val="12"/>
        <color theme="1"/>
        <rFont val="David"/>
        <family val="2"/>
        <charset val="177"/>
      </rPr>
      <t xml:space="preserve"> הפקדות שאחריה </t>
    </r>
    <r>
      <rPr>
        <u/>
        <sz val="12"/>
        <color theme="1"/>
        <rFont val="David"/>
        <family val="2"/>
        <charset val="177"/>
      </rPr>
      <t>סדרת</t>
    </r>
    <r>
      <rPr>
        <sz val="12"/>
        <color theme="1"/>
        <rFont val="David"/>
        <family val="2"/>
        <charset val="177"/>
      </rPr>
      <t xml:space="preserve"> משיכות, השאלה היא מטיפוס ״איזון אקטוארי״:</t>
    </r>
  </si>
  <si>
    <t>בשפה פשוטה - נבטא את הערך העתידי של ההפקדות (צבירה ערב הפרישה).</t>
  </si>
  <si>
    <t xml:space="preserve">ואת הערך הנוכחי של המשיכות (לאותה נקודת זמן). </t>
  </si>
  <si>
    <t xml:space="preserve">וההשוואה בין הערכים תאפשר לחלץ את הערך החסר. </t>
  </si>
  <si>
    <t>משיכות</t>
  </si>
  <si>
    <t>הפקדות</t>
  </si>
  <si>
    <t xml:space="preserve">כאשר רוצים לחלץ את סכום ההפקדה שיאפשר סדרת משיכות קבועה, </t>
  </si>
  <si>
    <t xml:space="preserve">ובהנחה שלגבי המשיכות הערכים ידועים, </t>
  </si>
  <si>
    <t>נתחיל מחישוב PV לסדרת המשיכות,</t>
  </si>
  <si>
    <t>נעביר אותו כ-FV הפקדות (בסימן הפוך),</t>
  </si>
  <si>
    <t xml:space="preserve">ונחלץ את ה - PMT. </t>
  </si>
  <si>
    <t>כאשר נדרש לבחור בין חלופות תזרימיות (סכומים לקבל / לשלם) בעיתויים שונים, נחשב ערך נוכחי PV לכל</t>
  </si>
  <si>
    <t>חלופה בשיטה המתאימה, ונבחר:</t>
  </si>
  <si>
    <t>בחלופה המניבה PV מירבי - אם מדובר בתקבולים.</t>
  </si>
  <si>
    <t xml:space="preserve">בחלופה המניבה PV מזערי - אם מדובר בתשלומים (כגון אפשרויות לרכישת מוצר). </t>
  </si>
  <si>
    <t>מסלול א של מירב:</t>
  </si>
  <si>
    <t>במשך 10 שנים ראשונות 20,000 לשנה, במשך 15 שנים לאחר מכן 14,000 לשנה.</t>
  </si>
  <si>
    <t>ולכן, מדובר בערך נוכחי ״מורכב״ = מספר סדרות.</t>
  </si>
  <si>
    <t xml:space="preserve">הדרך המומלצת היא לעבוד מהסוף להתחלה. </t>
  </si>
  <si>
    <t>אחרונות</t>
  </si>
  <si>
    <t>ראשונות</t>
  </si>
  <si>
    <t>השווי עבור מירב של מסלול א</t>
  </si>
  <si>
    <t>שקול ל-163,946 ש״ח ״במזומן״ (ערך נוכחי)</t>
  </si>
  <si>
    <t>השווי של מסלול ב:</t>
  </si>
  <si>
    <t>תום שנה</t>
  </si>
  <si>
    <t>שקול ל-154,217 ש״ח במזומן.</t>
  </si>
  <si>
    <t xml:space="preserve">בסך הכל: מירב תעדיף את מסלול א. </t>
  </si>
  <si>
    <t xml:space="preserve">השווי עבור מירב של מסלול ב </t>
  </si>
  <si>
    <t>טופל דווקא בתרגול מוקלט 2</t>
  </si>
  <si>
    <t>טופל בנספח לתרגול 2 (סרטון נפרד)</t>
  </si>
  <si>
    <t>כששואלים על שווי של פריט שצפוי להניב תזרימי מזומנים עתידיים - שואלים למעשה על ערכם הנוכחי של תזרימי</t>
  </si>
  <si>
    <t>מזומנים אלו - PV. חישוב הערך הנוכחי כאן הוא של ערך נוכחי של סדרה, ה״חידוש״ - טמון בעובדה שמדובר</t>
  </si>
  <si>
    <t>בסדרה אינסופית.</t>
  </si>
  <si>
    <t>חשוב לזכור - בדומה לכל נוסחה או כלי לחישוב עךר נוכחי של סדרה קבועה, גם החישוב הזה תמיד מוביל ״אחת אחורה״</t>
  </si>
  <si>
    <t>ביחס למועד התזרים הראשון בסדרה.</t>
  </si>
  <si>
    <t>המשמעות היא שאם יש לנו כאן תזרימי מזומנים בסוף כל שנה (התזרים הראשון בזמן 1 אם לא נאמר אחרת) חישוב</t>
  </si>
  <si>
    <t xml:space="preserve">הערך הנוכחי הסדרתי מוביל לזמן 0 ולא נצטרך התאמה. </t>
  </si>
  <si>
    <t>התשובה תהיה:</t>
  </si>
  <si>
    <r>
      <rPr>
        <b/>
        <sz val="12"/>
        <color theme="1"/>
        <rFont val="David"/>
        <family val="2"/>
        <charset val="177"/>
      </rPr>
      <t>גישה מתמטית</t>
    </r>
    <r>
      <rPr>
        <sz val="12"/>
        <color theme="1"/>
        <rFont val="David"/>
        <family val="2"/>
        <charset val="177"/>
      </rPr>
      <t xml:space="preserve"> - ערך נוכחי של סדרה אינסופית ניתן לחשב באמצעות הביטוי הבא:</t>
    </r>
  </si>
  <si>
    <r>
      <rPr>
        <b/>
        <sz val="12"/>
        <color theme="1"/>
        <rFont val="David"/>
        <family val="2"/>
        <charset val="177"/>
      </rPr>
      <t>גישה במחשבון פיננסי</t>
    </r>
    <r>
      <rPr>
        <sz val="12"/>
        <color theme="1"/>
        <rFont val="David"/>
        <family val="2"/>
        <charset val="177"/>
      </rPr>
      <t>:</t>
    </r>
  </si>
  <si>
    <t>סדרה הכוללת מס׳ רב מאד של תזרימים שקולה (בהפרש זניח) לאינסופית</t>
  </si>
  <si>
    <t>התשובה: שווי הנכס היום הוא 1,000,000 ש״ח.</t>
  </si>
  <si>
    <t>יש צורך לחשב כאן ערך נוכחי של שתי סדרות שמתחוללות בזו אחר זו:</t>
  </si>
  <si>
    <t>סדרה בזמן 1-10 כוללת תזרימים שנתיים של 70,000 האחד.</t>
  </si>
  <si>
    <t>סדרה בזמן 11 ואילך כוללת אינסוף תזרימים בסך 90,000 האחד.</t>
  </si>
  <si>
    <t>כאשר מדובר בחישוב ערך נוכחי של סדרה ״מורכבת״ (שמורכבת מכמה תתי סדרות) אנו תמיד עובדים ״מהסוף</t>
  </si>
  <si>
    <t>להתחלה״. מה שזה אומר זה כדלקמן:</t>
  </si>
  <si>
    <t>נחשב ערך נוכחי דווקא לסדרה האינסופית מזמן 11 ואילך. ערך נוכחי של סדרה אינסופית זו יבטא את התוצאה</t>
  </si>
  <si>
    <t>במונחי זמן 10. מדוע? כי ערך נוכחי של סדרה מוביל אחת אחורה ביחס לתחילתה.</t>
  </si>
  <si>
    <t>לאחר מכן, ניקח את הסכום הנ״ל, ונציב אותו כ-FV של הסדרה הראשונה מזמן 1-10. נבטא גם את תזרימיה,</t>
  </si>
  <si>
    <t xml:space="preserve">נחשב שוב ערך נוכחי, והפעם התוצאה שתתקבל תהיה סופית ותבטא את כלל התזרימים. </t>
  </si>
  <si>
    <t>סדרה אינסופית</t>
  </si>
  <si>
    <t>זמן 11 ואילך</t>
  </si>
  <si>
    <t>סדרה</t>
  </si>
  <si>
    <t>מזמן 1 ל-10</t>
  </si>
  <si>
    <t>יחד עם קודמתה</t>
  </si>
  <si>
    <t>התשובה הסופית היא:</t>
  </si>
  <si>
    <t>&lt;&lt;&lt;&lt;&lt;</t>
  </si>
  <si>
    <t>השווי של הפריט הוא 1,145,243 ש״ח.</t>
  </si>
  <si>
    <t>גישה מתמטית / יעלית:</t>
  </si>
  <si>
    <t>המונה - 90,000 חלקי 7%</t>
  </si>
  <si>
    <t>הוא הביטוי המייצג ערך נוכחי של סדרה אינסופית.</t>
  </si>
  <si>
    <t>הואיל והסדרה האינסופית החלה בזמן 11, תוצאת</t>
  </si>
  <si>
    <t>הביטוי שמובילה אחת אחורה ביטאה את הערך לזמן 10.</t>
  </si>
  <si>
    <t xml:space="preserve">כדי לתרגם את הביטוי כולו לזמן 0, חילקנו ב-1 ועוד הריבית בחזקת 10, </t>
  </si>
  <si>
    <t xml:space="preserve">כך הובלנו את התוצאה כולה לזמן 0. </t>
  </si>
  <si>
    <t xml:space="preserve">מבטא ערך נוכחי של </t>
  </si>
  <si>
    <t>סדרה רגילה</t>
  </si>
  <si>
    <t>הכוללת 10 איברים</t>
  </si>
  <si>
    <t>של 70,000 כל אחד,</t>
  </si>
  <si>
    <t xml:space="preserve">בריבית 7%. </t>
  </si>
  <si>
    <t>מדובר בסדרה שהחלה</t>
  </si>
  <si>
    <t>בזמן 1, ולכן התוצאה</t>
  </si>
  <si>
    <t>מבוטאת במונחי זמן 0</t>
  </si>
  <si>
    <t xml:space="preserve">התשובה </t>
  </si>
  <si>
    <t>הסופית</t>
  </si>
  <si>
    <t>2.1.1</t>
  </si>
  <si>
    <t>רכשת Macbook Pro בסכום של 30,000 ש״ח. 10% שילמת במזומן, היתרה שולמה על בסיס מימון בהלוואה</t>
  </si>
  <si>
    <t>נדרש: מהו התשלום החודשי הקבוע?</t>
  </si>
  <si>
    <t>set</t>
  </si>
  <si>
    <t>מחשבוני:</t>
  </si>
  <si>
    <t>מתמטי:</t>
  </si>
  <si>
    <t>סכום הלוואה שווה לערך הנוכחי של החזריה. סדרת ההחזרים קבועה, ולכן מתקיים:</t>
  </si>
  <si>
    <t>ניתן לייצר על בסיס זאת משוואה בנעלם אחד ולפתור אותה:</t>
  </si>
  <si>
    <t>2.1.2</t>
  </si>
  <si>
    <t>רכשת Macbook Air בעלות של 5,000 ש״ח. 20% שילמת במזומן ואת היתרה מימנת בהלוואה הנושאת ריבית נקובה</t>
  </si>
  <si>
    <t>נדרש: מהי יתרת ההלוואה (יתרת החוב) לאחר התשלום ה-26?</t>
  </si>
  <si>
    <t>מחשבונית - תחילה מחלצים את ה-PMT:</t>
  </si>
  <si>
    <t>כעת, לשם חישוב היתרה, מתבססים על פונקציה נפרדת של המחשבון הפיננסי, הרלוונטית לחילוץ ערכים ספציפייים</t>
  </si>
  <si>
    <t>מתוך לוח סילוקין שפיצר. הפונקציה נקראת AMRT, ונוכל לסמן בתוכה את מספר התשלום הרלוונטי בפרמטרים</t>
  </si>
  <si>
    <t>שמסומנים כ-PM1 ו-PM2 ולבצע SOLVE על הנדרש: על BAL כשרוצים יתרה, על INT כשרוצים את הריבית</t>
  </si>
  <si>
    <t>הכלולה בתשלום ספציפי, ועל PRN כאשר מעוניינים לחלץ את רכיב הקרן בתשלום ספציפי.</t>
  </si>
  <si>
    <t>מתמטית:</t>
  </si>
  <si>
    <t>מחלצים תחילה את סכום ההחזר:</t>
  </si>
  <si>
    <t>הכולל n בניכוי מספר התשלומים שחלפו t:</t>
  </si>
  <si>
    <t>שאלה 1 - חישוב תשלום חודשי בלוח סילוקין שפיצר</t>
  </si>
  <si>
    <t>שאלה 2 - חישוב יתרת הלוואה למועד ספציפי - לוח שפיצר</t>
  </si>
  <si>
    <t>שאלה 3 - חישוב יתרת הלוואה למועד ספציפי - לוח רגיל</t>
  </si>
  <si>
    <t>2.1.3</t>
  </si>
  <si>
    <t xml:space="preserve">ונפרעת בתשלומים חודשיים שווים של קרן (לוח סילוקין רגיל) במשך 8 שנים. </t>
  </si>
  <si>
    <t>מהי יתרת ההלוואה (יתרת החוב) מיד לאחר התשלום ה-54?</t>
  </si>
  <si>
    <t xml:space="preserve">שנתית בשיעור 6% והיא נפרעת בתשלומים חודשיים שווים של קרן וריבית (שפיצר) במשך 5 שנים. </t>
  </si>
  <si>
    <t>פוחתת בקצב ובסכום קבוע בכל תקופה. כדי לקצר תהליכים, אפשר פשוט לעבוד כך:</t>
  </si>
  <si>
    <t>שאלה 4 - לוח שפיצר עם תשלומים רבעוניים</t>
  </si>
  <si>
    <t>קוקי רכש מכונה לחימום נקניק לשימוש אישי בעלות 200,000 ש״ח. את הרכישה מימן בהלוואה בסכום זהה</t>
  </si>
  <si>
    <t>נדרש: מהי יתרת ההלוואה לאחר 3 שנים?</t>
  </si>
  <si>
    <t>בריבית נקובה של 8% המוחזרת בתשלומים רבעוניים שווים (לוח שפיצר) במשך 10 שנים.</t>
  </si>
  <si>
    <t>שאלה 5 - הלוואה בחלקים</t>
  </si>
  <si>
    <t xml:space="preserve">משה נטל הלוואה בשני חלקים: </t>
  </si>
  <si>
    <t>חלק ראשון: הלוואה בסך 200,000 ש״ח ל-8 שנים, הנושאת ריבית חודשית בשיעור 2%.</t>
  </si>
  <si>
    <t>חלק שני: הלוואה בסך 400,000 ש״ח ל-15 שנים, הנושאת ריבית שנתית בשיעור 12% המחושבת חודשית.</t>
  </si>
  <si>
    <t xml:space="preserve">שני חלקי ההלוואה נפרעים בתשלומים חודשיים קבועים. </t>
  </si>
  <si>
    <t>בעקבות תקופת הלחימה העניק הבנק ״גרייס״ (דחייה בתחילת ההחזרים) בגין רכיבי ההלוואה, כך שהתשלומים</t>
  </si>
  <si>
    <t xml:space="preserve">יידחו ב-24 חודשים ביחס למועדם המקורי. </t>
  </si>
  <si>
    <t>מהו התשלום הכולל שיבוצע בחודש ה-122 ממועד נטילת ההלוואה?</t>
  </si>
  <si>
    <t>ניתן לשלם בעוד חודשיים על מכונה לחימום נקניק 1,000 ש״ח או לחילופין בעוד 5 חודשים סכום של 1,200 ש״ח.</t>
  </si>
  <si>
    <t>מהי הריבית האפקטיבית השנתית הגלומה בדחיית התשלום?</t>
  </si>
  <si>
    <t>ד. הריבית היא 3% לחודש</t>
  </si>
  <si>
    <t>ה. הריבית היא 5% לחצי שנה</t>
  </si>
  <si>
    <t>ו. הריבית היא 10% מראש</t>
  </si>
  <si>
    <t xml:space="preserve">שאלה 8 - ריבית אפקטיבית </t>
  </si>
  <si>
    <t>השנתית בהלוואה?</t>
  </si>
  <si>
    <t>תכני למידה:</t>
  </si>
  <si>
    <t>הגשה:</t>
  </si>
  <si>
    <t>לאחר המפגש ו/או השלמות שתיווצרנה בעקבותיו ניתן להגיש את תרגיל ההגשה הבא בקורס באופן מלא.</t>
  </si>
  <si>
    <t>AMRT</t>
  </si>
  <si>
    <t>PM1</t>
  </si>
  <si>
    <t>PM2</t>
  </si>
  <si>
    <t>Solve BAL</t>
  </si>
  <si>
    <t>שאלה זו שקולה לגמרי לשאלה 2, למעט תדירות התשלומים ועיתויים שכאן היא רבעונית. בהתאם הריבית תתואם</t>
  </si>
  <si>
    <t>לרבעונית ומספר התשלומים n יהיה זהה למספר הרבעונים ולא למספר החודשים.</t>
  </si>
  <si>
    <t>אם יש הלוואה</t>
  </si>
  <si>
    <t>שנפרעת בתשלומים שווים</t>
  </si>
  <si>
    <t xml:space="preserve">אזי היא נקראת לוח </t>
  </si>
  <si>
    <t xml:space="preserve">שפיצר - ונחלץ את </t>
  </si>
  <si>
    <t xml:space="preserve">תשלומה התקופתי </t>
  </si>
  <si>
    <t>באמצעות PMT של CMPD</t>
  </si>
  <si>
    <t>של סדרה (מתמטי)</t>
  </si>
  <si>
    <t>מחשבונית:</t>
  </si>
  <si>
    <r>
      <rPr>
        <u/>
        <sz val="12"/>
        <color theme="1"/>
        <rFont val="David"/>
        <family val="2"/>
        <charset val="177"/>
      </rPr>
      <t>או</t>
    </r>
    <r>
      <rPr>
        <sz val="12"/>
        <color theme="1"/>
        <rFont val="David"/>
        <family val="2"/>
        <charset val="177"/>
      </rPr>
      <t>: באמצעות חילוץ מנוסחת ערך נוכחי</t>
    </r>
  </si>
  <si>
    <t>תשלומים כל חודש, 10 שנים</t>
  </si>
  <si>
    <t>סכום ההלוואה - בסימן חיובי</t>
  </si>
  <si>
    <t>בלוח שפיצר - אין תזרים נוסף בתום התקופה</t>
  </si>
  <si>
    <t>אם הנקובה השנתית 12%, החודשית תהיה..</t>
  </si>
  <si>
    <t>חילוץ התשלום התקופתי הקבוע</t>
  </si>
  <si>
    <t xml:space="preserve">Solve = </t>
  </si>
  <si>
    <t>ניגש לכפתור ה-AMRT רק לאחר חילוץ ה-PMT באמצעות CMPD וללא איפוס המחשבון:</t>
  </si>
  <si>
    <t>מספר התשלום הספציפי אליו מתייחס החישוב</t>
  </si>
  <si>
    <t>חילוץ היתרה BAL</t>
  </si>
  <si>
    <t>טיפ: אפשר גם לחשב את תשלום הקרן בזמן 26 על ידי SOLVE PRN, ואת תשלום הריבית בזמן 26 על ידי SOLVE INT</t>
  </si>
  <si>
    <t>יתרת החוב לאחר 26 תשלומים</t>
  </si>
  <si>
    <t>התשלום התקופתי על חשבון קרן לפי</t>
  </si>
  <si>
    <t>סכום ההלוואה LOAN המחולק במספר</t>
  </si>
  <si>
    <t xml:space="preserve">התשלומים הכולל n </t>
  </si>
  <si>
    <t>מספר התשלומים הכולל n</t>
  </si>
  <si>
    <t>בניכוי מס׳ התשלומים שבוצעו t</t>
  </si>
  <si>
    <t>מספר התשלומים שנותרו שעל</t>
  </si>
  <si>
    <t>בסיסם נקבעת היתרה: n-t</t>
  </si>
  <si>
    <t xml:space="preserve">מספר </t>
  </si>
  <si>
    <t>התשלומים</t>
  </si>
  <si>
    <t>שנותרו</t>
  </si>
  <si>
    <t>בעתיד</t>
  </si>
  <si>
    <t xml:space="preserve">התוצאה המתקבלת היא יתרת הקרן / יתרת הלוואה / יתרת החוב. זו איננה מתייחסת לריבית. </t>
  </si>
  <si>
    <t>אמנם לא נאמר לאיזו תקופה הריבית - ברירת המחדל: שנה</t>
  </si>
  <si>
    <t>בחלוף 3 שנים בוצעו 12 תשלומים רבעוניים</t>
  </si>
  <si>
    <t>כברירת מחדל, דחייה במועדי תחילת ההחזרים ביחס למועד המקורי בחוזה שנחתם - מחייבת את הלווה בצבירת</t>
  </si>
  <si>
    <t>ריבית לתקופת הדחייה.</t>
  </si>
  <si>
    <t>לכן, עלינו לחשב את יתרת החוב הכוללת בגין רכיבי ההלוואה ערב תחילת התשלומים, ואת היתרה הכוללת הנ״ל</t>
  </si>
  <si>
    <t>המגלמת גם את הריבית לתקופת הגרייס - לפרוס על פני התקופה המתאימה.</t>
  </si>
  <si>
    <t>בהלוואה יש שני חלקים:</t>
  </si>
  <si>
    <t>החלק הראשון היה במקור ל-8 שנים (96 חודשים).</t>
  </si>
  <si>
    <t>החלק הזה נדחה ב-24 חודשים, כך שבראיית התקופה כולה - מדובר ב-120 חודשים.</t>
  </si>
  <si>
    <t>במילים אחרות: בחלוף 120 חודשים מנטילת ההלוואה, היא מסתיימת, והחזריה מתאפסים.</t>
  </si>
  <si>
    <t xml:space="preserve">לכן, הואיל ושאלו על ההחזר בחודש ה-122, אין כל צורך להתייחס לרכיב הלוואה זה. </t>
  </si>
  <si>
    <t>החלק השני של ההלוואה הוא ל-15 שנים בתוספת דחייה של שנתיים - וכמובן חלק זה כן חי ובועט בחודש ה-122.</t>
  </si>
  <si>
    <t>ולכן אליו כן נתייחס.</t>
  </si>
  <si>
    <t>הלוואה:</t>
  </si>
  <si>
    <t>תקופה:</t>
  </si>
  <si>
    <t>שנים</t>
  </si>
  <si>
    <t>תדירות:</t>
  </si>
  <si>
    <t>חודשית</t>
  </si>
  <si>
    <t>גרייס</t>
  </si>
  <si>
    <t>שנתיים</t>
  </si>
  <si>
    <t>stage 1</t>
  </si>
  <si>
    <t>חישוב יתרה לתום השנתיים</t>
  </si>
  <si>
    <t>stage 2</t>
  </si>
  <si>
    <t>חישוב החזר</t>
  </si>
  <si>
    <t>ההחזר הכולל בתום החודש ה-122 הוא 6,095.58 ש״ח.</t>
  </si>
  <si>
    <t>המחיר</t>
  </si>
  <si>
    <t>לתשלום</t>
  </si>
  <si>
    <t>בעוד חודשיים</t>
  </si>
  <si>
    <t xml:space="preserve">בעוד 5 </t>
  </si>
  <si>
    <t>חודשים</t>
  </si>
  <si>
    <t>הריבית היא ההפרש בין התשלום הדחוי לתשלום ״הרגיל״. כאן: 200 ש״ח.</t>
  </si>
  <si>
    <t>כדי לתרגם אותה לאחוזי ריבית אפקטיבית - אחלק סכום ריבית זה בסכום הקרן 1,000.</t>
  </si>
  <si>
    <t>כך אקבל:</t>
  </si>
  <si>
    <t>מסקנה: בעסקאות ״בלון״ הנפרעות בתשלום אחד (לא לוח שפיצר / רגיל)</t>
  </si>
  <si>
    <t xml:space="preserve">היחס בין התשלום בתום התקופה לבין ערך העסקה הבסיסי, פחות אחת </t>
  </si>
  <si>
    <t>הואיל וכאן - ריבית 20% היא הריבית השוררת ל-3 החודשים שבין זמן 2 לזמן 5 בחודשים,</t>
  </si>
  <si>
    <t xml:space="preserve">עלינו לתאמה בהתאם לנדרש למונחים שנתיים. </t>
  </si>
  <si>
    <t>זכרו - 3 חודשים הם למעשה רבעון. אנו רוצים לתרגם את הריבית לשנה שהיא 4 רבעונים.</t>
  </si>
  <si>
    <t>הנחת ברירת המחדל של תרגום הריבית היא כזו שמתבססת על ״ריבית דריבית״ (חזקה):</t>
  </si>
  <si>
    <t>הריבית השנתית</t>
  </si>
  <si>
    <t xml:space="preserve">תמצית: בעת שאנו יודעים מהם התזרימים בתחילת העסקה ובסיומה, היחס ביניהם פחות אחת הוא הריבית </t>
  </si>
  <si>
    <t xml:space="preserve">האפקטיבית לתקופת העסקה. התאמת התוצאה לפרק זמן אחר - מבוצעת באמצעות מעריך חזקה מתאים. </t>
  </si>
  <si>
    <t>הרחבה: גם המרה מתקופות ארוכות לקצרות אפשרית באמצעות חזקה מתאימה. למשל, נניח שהעסקה היא לשנתיים</t>
  </si>
  <si>
    <t>וחצי ודורשים ריבית לשנה אחת. היינו פועלים כך:</t>
  </si>
  <si>
    <t>הסבר ל-ז: כאשר הריבית הנקובה החצי שנתית נתונה, והיא מחושבת כל חודש, התהליך הבסיסי R/n מטרתו</t>
  </si>
  <si>
    <t>להמיר את הנקובה החצי שנתית לתקופת חישוב אחת (חודש), וזאת ע״י חלוקה ב-6 (n).</t>
  </si>
  <si>
    <t xml:space="preserve">מעריך החזקה הוא הכלי שעוזר לי להמיר תקופת חישוב אחת (חודש) לתקופה הכוללת לגביה נשאלתי (שנה). </t>
  </si>
  <si>
    <t xml:space="preserve">לכן כאן, מעריך החזקה הוא 12 (ישנם 12 תקופות חישוב חודשיות בשנה). </t>
  </si>
  <si>
    <t>הסבר ל-ד: כאשר הריבית כבר נתונה במונחים חודשיים, ולא נלווה לה מינוח כגון ״מחושבת כל...״ אזי אין צורך</t>
  </si>
  <si>
    <t>בחלוקה אלא רק בהתאמת התקופה דרך מעריך החזקה.</t>
  </si>
  <si>
    <t>הסבר ל-ו:</t>
  </si>
  <si>
    <t xml:space="preserve">לשם ההמחשה וללא הגבלת כלליות, נניח שמדובר בהלוואה בסכום של 100 ש״ח הנושאת ריבית מראש </t>
  </si>
  <si>
    <t xml:space="preserve">בשיעור 10%. </t>
  </si>
  <si>
    <t>נוטל הלוואה (תזרים חיובי)</t>
  </si>
  <si>
    <t>תשלום ריבית מראש (תזרים שלילי)</t>
  </si>
  <si>
    <t>קרן ההלוואה נטו</t>
  </si>
  <si>
    <t>החזר לבנק</t>
  </si>
  <si>
    <t>הכללת הנוסחה - במונה - 100% מהקרן (1) ובמכנה יש לנו את הקרן פחות שיעור הניכוי / הריבית מראש (d).</t>
  </si>
  <si>
    <t>במלים אחרות: השאלה שקולה לגמרי לשאלה המנוסח:</t>
  </si>
  <si>
    <t>מהי הריבית האפקטיבית השנתית אם הריבית הנקובה השנתית 20% והיא מחושבת כל חודש.</t>
  </si>
  <si>
    <t>הנוסחה הרלוונטית:</t>
  </si>
  <si>
    <t>נוסחה בת 40 בטינדר:</t>
  </si>
  <si>
    <t>מה למדנו מתרגיל זה?</t>
  </si>
  <si>
    <t xml:space="preserve">העסקה כולה כדי להמיר את הריבית למונחים אפקטיביים שנתיים. </t>
  </si>
  <si>
    <t xml:space="preserve">הנוסחה הזו מתאימה למצבים שבהם ה-input </t>
  </si>
  <si>
    <t>הוא כבר במונחי תקופת חישוב.</t>
  </si>
  <si>
    <t>ואז: אין צורך לבצע את הפריסה המתבטאת בשבר</t>
  </si>
  <si>
    <t>בנוסחה שמימין.</t>
  </si>
  <si>
    <t>שאם נדרשת ריבית שנתית, ונתוני הריבית שבשאלה (לפני גילום אפקטיבית) הם באחוזים (לא כספיים), אין כל צורך להתייחס לתקופת</t>
  </si>
  <si>
    <t>הרחבה לבקשת הסטודנטים - טענו שהגישה המבוטאת מטה מעניקה תוצאה שונה לזו</t>
  </si>
  <si>
    <t>שהוצגה בפתרון לשאלה 5 במטלה 1 של המרצה, לכן אני כותב כאן פתרון דומה:</t>
  </si>
  <si>
    <t>זמן 16 ואילך</t>
  </si>
  <si>
    <t>מזמן 1 ל-15</t>
  </si>
  <si>
    <t>זהה למרצה</t>
  </si>
  <si>
    <t>רקע:</t>
  </si>
  <si>
    <t>אג״ח (או - אגרת חוב, Bond בלעז) היא מכשיר פיננסי המונפק על ידי ישות (חברה, ממשלה, רשות מקומית וכיוצא</t>
  </si>
  <si>
    <t>ההנפקה.</t>
  </si>
  <si>
    <t>מאפייני המכשיר הפיננסי:</t>
  </si>
  <si>
    <t>ערך נקוב:</t>
  </si>
  <si>
    <t>תשלום / סילוק ״ערך נקוב״ זה יכול שיתבצע בתשלום אחד או במספר תשלומים. בהתאם לרוח</t>
  </si>
  <si>
    <t>תרגיל הגשה 3, אנו נעסוק בשלב זה אך ורק באגרות חוב אשר משלמות ערך נקוב מוגדר בתשלום</t>
  </si>
  <si>
    <t>אחד בתום חיי האג״ח.</t>
  </si>
  <si>
    <t>ריבית נקובה:</t>
  </si>
  <si>
    <t>הריבית המוגדרת בהסכם / תשקיף האג״ח. מכפלתה בערך הנקוב קובעת את התשלום שיועבר</t>
  </si>
  <si>
    <t>ריבית המשק:</t>
  </si>
  <si>
    <t>לצד הריבית הנקובה, שנקבעת באג״ח עצמה על ידי החברה, קיימת ריבית נוספת. זוהי למעשה</t>
  </si>
  <si>
    <t>הריבית שדורשים המשקיעים באג״ח, ועל בסיסה ייקבע מחירה. במלים אחרות, אם חברה משלמת</t>
  </si>
  <si>
    <t>ריבית קופון של 10%, בריבית זו יבוצע שימוש לחישוב התזרימים - אבל חישוב ערכם הנוכחי</t>
  </si>
  <si>
    <t xml:space="preserve">לשם תמחור האג״ח, יישען על ריבית המשק (נקראת גם תשואה לפדיון / תשואה אלטרנטיבית / </t>
  </si>
  <si>
    <t>שיעור תשואה נדרש על ידי המשקיעים באג״ח).</t>
  </si>
  <si>
    <t>תהליך העבודה בחישובי אג״ח - סוגיות:</t>
  </si>
  <si>
    <t>גובה הקופון לפי מכפלת הריבית הנקובה באג״ח בערך הנקוב</t>
  </si>
  <si>
    <t>PMT = r * FV</t>
  </si>
  <si>
    <t>הערך הנקוב</t>
  </si>
  <si>
    <t>נדרש:</t>
  </si>
  <si>
    <t>א. מהו מחיר כל אחת מאגרות החוב היום?</t>
  </si>
  <si>
    <t xml:space="preserve">לאג״ח א נותרו עוד 4 שנים עד לפדיונה.  </t>
  </si>
  <si>
    <t xml:space="preserve">לאג״ח ב נותרו עוד 9 שנים עד לפדיונה. </t>
  </si>
  <si>
    <t>שאלה 1 - חישוב מחיר אג״ח - קופון בשנים שלמות</t>
  </si>
  <si>
    <t>ריבית הקופון (נקובה): תמיד מחושבת כריבית פשוטה (יחסית). הווי אומר, אם למשל שיעור ריבית</t>
  </si>
  <si>
    <t>שיעור התשואה לפדיון (ריבית המשק): תמיד מחושבת כריבית אפקטיבית (מעריך חזקה). הווי אומר,</t>
  </si>
  <si>
    <t>במונחים חצי שנתיים (ערך %I להיוון התזרימים החצי שנתיים) יהיה 3%, לפי:</t>
  </si>
  <si>
    <t xml:space="preserve">בתאריך 1/1/2018 הונפקה אג״ח שערכה הנקוב 500 ש״ח. </t>
  </si>
  <si>
    <t>אגרת החוב היא לתקופה של 9 שנים.</t>
  </si>
  <si>
    <t xml:space="preserve">הערך הנקוב נפרע בתשלום אחד בתום השנה ה-9. </t>
  </si>
  <si>
    <t>מהו המחיר המקסימלי שבו כדאי לקנות את אגרת החוב שנתיים לאחר הנפקתה, אם ידוע שהריבית במשק</t>
  </si>
  <si>
    <t>היא בשיעור של 3% לחודש?</t>
  </si>
  <si>
    <t xml:space="preserve">הניחו אגרת חוב ל-8 שנים שמשלמת קופון בשיעור שנתי של 10% כל רבעון. </t>
  </si>
  <si>
    <t>שאלה 2 - חישוב מחיר אג״ח - תשלומים חצי שנתיים וחישוב המחיר מיד לאחר מועד תשלום</t>
  </si>
  <si>
    <t>שאלה 3 - חישוב מחיר אג״ח - תשלומים רבעוניים וחישוב מחיר בין מועדי תשלום</t>
  </si>
  <si>
    <t>פירעון הקרן בסוף התקופה.</t>
  </si>
  <si>
    <t>כי הערך הנקוב 100 ש״ח.</t>
  </si>
  <si>
    <t>סוגיה 2 - חישוב תשואה לתקופת החזקה</t>
  </si>
  <si>
    <t>מדובר במצב שבו משקיע רוכש את האג״ח, מחזיק אותה תקופה מסוימת ואז מוכר אותה. במצב כזה, צריך להגדיר</t>
  </si>
  <si>
    <t>נספח מתמטי:</t>
  </si>
  <si>
    <t>החישוב המתמטי יהיה במצב כזה דומה מאד:</t>
  </si>
  <si>
    <t>מחיר האג״ח - הערך המחולץ / המחושב</t>
  </si>
  <si>
    <t>שווי האג״ח</t>
  </si>
  <si>
    <t>הערך הנוכחי של סדרת</t>
  </si>
  <si>
    <t>תזרימי הקופון התקופתיים</t>
  </si>
  <si>
    <t>הערך הנוכחי של פירעון</t>
  </si>
  <si>
    <t>בתום התקופה</t>
  </si>
  <si>
    <t>מספר תזרימי המזומנים שנותרו למועד החישוב</t>
  </si>
  <si>
    <t>הריבית במשק / שיעור תשואה לפדיון למועד החישוב</t>
  </si>
  <si>
    <t>שלב 1: חישוב עלות רכישת האג״ח (במידה ואיננה נתונה) בהתייחס למועד הרכישה:</t>
  </si>
  <si>
    <t>מספר תזרימי המזומנים שנותרו למועד הרכישה</t>
  </si>
  <si>
    <t>הריבית במשק / שיעור תשואה לפדיון למועד הרכישה</t>
  </si>
  <si>
    <t>מחיר רכישת האג״ח - הערך המחולץ / המחושב</t>
  </si>
  <si>
    <t>שלב 2 - חישוב תמורת מכירת האג״ח (במידה ואיננה נתונה):</t>
  </si>
  <si>
    <t>מספר תזרימי המזומנים שנותרו למועד המכירה</t>
  </si>
  <si>
    <t>הריבית במשק / שיעור תשואה לפדיון למועד המכירה</t>
  </si>
  <si>
    <t>מחיר מכירת האג״ח - הערך המחולץ / המחושב</t>
  </si>
  <si>
    <t>מספר תזרימי המזומנים שהתקבלו בתקופת ההחזקה</t>
  </si>
  <si>
    <t>הערך המחולץ - שיעור התשואה בתקופת ההחזקה</t>
  </si>
  <si>
    <t>שלב 3 - חילוץ שיעור התשואה לתקופת החזקה</t>
  </si>
  <si>
    <t>עלות רכישת האג״ח (שלב 1) - בסימן שלילי</t>
  </si>
  <si>
    <t>תמורת מכירת האג״ח (שלב 2) - בסימן חיובי</t>
  </si>
  <si>
    <t xml:space="preserve">PV </t>
  </si>
  <si>
    <t>PMT=r*FV</t>
  </si>
  <si>
    <r>
      <t xml:space="preserve">בזה) ואשר מקנה לאוחז בה זכות </t>
    </r>
    <r>
      <rPr>
        <b/>
        <u/>
        <sz val="12"/>
        <color theme="1"/>
        <rFont val="David"/>
        <family val="2"/>
        <charset val="177"/>
      </rPr>
      <t>בלתי מותנית</t>
    </r>
    <r>
      <rPr>
        <sz val="12"/>
        <color theme="1"/>
        <rFont val="David"/>
        <family val="2"/>
        <charset val="177"/>
      </rPr>
      <t xml:space="preserve"> לסדרת תשלומים בהתאם לתנאים המוגדרים היטב בתשקיף</t>
    </r>
  </si>
  <si>
    <t>כדי להגדיר את תזרימי המזומנים מהאג״ח - המהווים את הבסיס לחישוב שוויה / מחירה, עלינו להכיר את המונחים</t>
  </si>
  <si>
    <t>הבאים ולהבדיל ביניהם:</t>
  </si>
  <si>
    <t>לערך הנקוב (ע״נ) באג״ח שתי מטרות - שני סוגי תזרימים הנובעים ממנו:</t>
  </si>
  <si>
    <t>לידי המחזיק באג״ח בכל מועד מוגדר. היא נקבעת על ידי החברה.</t>
  </si>
  <si>
    <t>לשים חישוב שווי האג״ח</t>
  </si>
  <si>
    <t>על בסיס תזרימיה</t>
  </si>
  <si>
    <t>זו למעשה הריבית %I</t>
  </si>
  <si>
    <r>
      <rPr>
        <b/>
        <sz val="12"/>
        <color theme="1"/>
        <rFont val="David"/>
        <family val="2"/>
        <charset val="177"/>
      </rPr>
      <t>מחיר אג״ח</t>
    </r>
    <r>
      <rPr>
        <sz val="12"/>
        <color theme="1"/>
        <rFont val="David"/>
        <family val="2"/>
        <charset val="177"/>
      </rPr>
      <t xml:space="preserve">: נקבע בתור הערך הנוכחי </t>
    </r>
    <r>
      <rPr>
        <b/>
        <sz val="12"/>
        <color theme="1"/>
        <rFont val="David"/>
        <family val="2"/>
        <charset val="177"/>
      </rPr>
      <t>PV</t>
    </r>
    <r>
      <rPr>
        <sz val="12"/>
        <color theme="1"/>
        <rFont val="David"/>
        <family val="2"/>
        <charset val="177"/>
      </rPr>
      <t xml:space="preserve"> של תזרימי המזומנים מהאג״ח. אלו יביאו בחשבון את הערכים הבאים:</t>
    </r>
  </si>
  <si>
    <t>הקופון השנתית 5%, אך הוא משולם כל חצי שנה, ריבית הקופון לחצי שנה תהיה 2.5% = 2 / 5%.</t>
  </si>
  <si>
    <t>אם למשל שיעור התשואה לפדיון במשק 6.09% (לשנה), והתשלום כל חצי שנה, שיעור התשואה לפדיון</t>
  </si>
  <si>
    <t>אג״ח א</t>
  </si>
  <si>
    <t>אג״ח ב</t>
  </si>
  <si>
    <t>יישום עבור אג״ח א:</t>
  </si>
  <si>
    <t>יישום עבור אג״ח ב:</t>
  </si>
  <si>
    <t>אג״ח</t>
  </si>
  <si>
    <t>המחיר המקסימלי שבו כדאי לקנות את האג״ח הוא למעשה שוויה. ושוויה הוא הערך הנוכחי PV של תזרימיה הנותרים</t>
  </si>
  <si>
    <t>נכון למועד החישוב. במלים אחרות, פשוט צריך לחשב פה את ה-PV של תזרימי האג״ח כרגיל:</t>
  </si>
  <si>
    <t>הואיל והמטרה היא לדעת מהם תזרימי המזומנים העתידיים שנותרו, עלינו לדעת מהי יתרת אורך חיי האג״ח למועד</t>
  </si>
  <si>
    <t>התמחור. כשהאג״ח הונפקה - אורך חייה (המקורי) היה 9 שנים. חלפו שנתיים, ולכן נותרו לאג״ח עוד 7 שנות</t>
  </si>
  <si>
    <t>חיים בלבד, ועל בסיס ערך זה נקבע את מספר התזרימים.</t>
  </si>
  <si>
    <t>תשלומים חצי שנתיים &gt;&gt;&gt; ריבית משק לחצי שנה</t>
  </si>
  <si>
    <t>הואיל וריבית המשק מטופלת כריבית</t>
  </si>
  <si>
    <t>אפקטיבית, המרתה מחודש לחצי שנה</t>
  </si>
  <si>
    <t>מבוצעת ע״י חזקה מתאימה:</t>
  </si>
  <si>
    <t>חישוב בגישה מתמטית:</t>
  </si>
  <si>
    <t>האתגר בשאלה הזו - הוא שהחישוב איננו בתקופות תשלום שלמות. לכן יש צורך להתמודד בצורה של התאמות</t>
  </si>
  <si>
    <t>עם תוצאת החישוב הבסיסית המתקבלת.</t>
  </si>
  <si>
    <t>FV = 100</t>
  </si>
  <si>
    <t>…</t>
  </si>
  <si>
    <t>תזרימי קופון היסטוריים - במהלך השנתיים</t>
  </si>
  <si>
    <t>הקודמות - לא רלוונטיים</t>
  </si>
  <si>
    <t xml:space="preserve">כי חישוב שווי מתבסס על הערך הנוכחי </t>
  </si>
  <si>
    <t>של התזרימים העתידיים</t>
  </si>
  <si>
    <t>המשקיע פה</t>
  </si>
  <si>
    <t>חודש אחרי</t>
  </si>
  <si>
    <t>תום השנה</t>
  </si>
  <si>
    <t>ה-2</t>
  </si>
  <si>
    <t xml:space="preserve">n = </t>
  </si>
  <si>
    <t>מספר תזרימי המזומנים שנותרו ממועד התמחיר ואילך: עד כה בוצעו תזרימים במשך שנתיים מתוך ה-8, נותרו עוד 6 שנים כפול 4</t>
  </si>
  <si>
    <t>ריבית הקופון היא שנתית, אך התשלום רבעוני. תיאמנו את ריבית הקופון ע״י חלוקתה ב-4, וכפלנו בערך הנקוב 100</t>
  </si>
  <si>
    <t>מהו המחיר של אגרת החוב בחלוף שנתיים וחודש ממועד הנפקתה אם הריבית המשק היא 12.6825% (לשנה)? יש להניח</t>
  </si>
  <si>
    <t>ריבית המשק היא שנתית, התשלום רבעוני, יש לתאמה לרבעון.</t>
  </si>
  <si>
    <t>ערך נקוב</t>
  </si>
  <si>
    <t>בשונה מהדוגמאות הקודמות, כאן, הערך הנוכחי שמוביל ״אחת אחורה״ הוביל רבעון אחד אחורה כלומר</t>
  </si>
  <si>
    <t>שלושה חודשים לפני התשלום הקרוב - לפני זמן 27. כללומר, התוצאה היא לזמן 24, ולא 25.</t>
  </si>
  <si>
    <t>כדי לתרגם את התוצאה הנ״ל שהיא לזמן 24 חודש אחד קדימה, יש לכפול ב-1 ועוד ריבית חודשית. המרת הריבית השנתית הנתונה לחודשית:</t>
  </si>
  <si>
    <t>התשובה הסופית:</t>
  </si>
  <si>
    <t xml:space="preserve">מסקנה: בעוד שבמצבים שבהם נקודת הזמן שבה אני נמצא בשלב התמחור היא בדיוק לאחר התשלום התקופתי (שתי השאלות הראשונות), </t>
  </si>
  <si>
    <t>חישוב ה-PV עובד נפלא ללא צורך בהתאמות - כאשר נקודת הזמן שבה נמצאים היא ״בין״ מועדי תשלום, במקרים רבים נדרש לבחון</t>
  </si>
  <si>
    <t xml:space="preserve">בזהירות היכן אנו נמצאים, היכן התשלום הקרוב, ולאן מגיעים בחישוב ה-PV בעקבות יישום העיקרון של ״אחת אחורה״. </t>
  </si>
  <si>
    <t xml:space="preserve">לאחר שזיהינו לאן מגיעים, יש לבצע התאמות בהתאם לנקודת התמחיר הספציפית הנדונה. </t>
  </si>
  <si>
    <t>הביטוי בסוגריים ה״גדולים״ הוא תחשיב מחיר האג״ח הבסיסי (לזמן 24) והמכפלה ב-1 ועוד 1% היא התיקון</t>
  </si>
  <si>
    <t xml:space="preserve">מזמן 24 (בחודשים) לזמן 25. </t>
  </si>
  <si>
    <t>את הפרמטרים בחישוב בצורה מעט שונה.</t>
  </si>
  <si>
    <t>מיני רציו: כאשר משקיע רוכש אג״ח, המחיר נשען על התזרימים בהנחה שהאג״ח תוחזק עד מועד פרעונה.</t>
  </si>
  <si>
    <t>אם מוכרים אותה קודם לכן, התזרים האחרון שיקבל המשקיע יהיה תמורת המכירה. וזו איננה הערך הנקוב,</t>
  </si>
  <si>
    <t>אלא שווי האג״ח במועד מכירתה.</t>
  </si>
  <si>
    <t>כלומר התהליך יורכב מ-3 שלבים:</t>
  </si>
  <si>
    <t>שלב 1 - נחשב את עלות האג״ח למשקיע - ערך נוכחי של כלל התזרימים במועד הרכישה ״כרגיל״.</t>
  </si>
  <si>
    <t>שלב 2 - נחשב את תמורת המכירה של האג״ח - ערך נוכחי של התזרימים שנותרו במועד המכירה - ״כרגיל״.</t>
  </si>
  <si>
    <t>שלב 3 - חישוב התשואה לתקופת ההחזקה יתבסס על עלות הרכישה (שלב 1), תמורת המכירה (שלב 2) והקופונים - כאשר הריבית תהיה ערך מחולץ.</t>
  </si>
  <si>
    <t>אחח יוקר המחיה. איזה מבאס הא? הכל מתייקר כל הזמן.</t>
  </si>
  <si>
    <t xml:space="preserve">ואיפה זה מתבטא? בשיעור האינפלציה. </t>
  </si>
  <si>
    <t xml:space="preserve">כשאנו משקיעים (או מלווים, שזה סוג של השקעה בלווה) אנו מעוניינים לשמור על כח הקניה של פירות </t>
  </si>
  <si>
    <t xml:space="preserve">השקעתנו, ולכן במקרים רבים - השקעות והלוואות הן צמודות למדד. </t>
  </si>
  <si>
    <t xml:space="preserve">ככלל, משמעות ההצמדה היא שקיימת הגנה (התאמת ערך) לתקבולים עבור שינויים במדד המחירים, </t>
  </si>
  <si>
    <t>קרי באינפלציה.</t>
  </si>
  <si>
    <t>תכל׳ס, מה המטרה היום?</t>
  </si>
  <si>
    <t>להראות את הקשרים המתמטיים בין ריבית נומינלית (אפקטיבית כוללת ; שקלית) לבין ריבית ריאלית (ריבית צמודה)</t>
  </si>
  <si>
    <t>והאינפלציה, כולל יישומים קשורים לגבי תזרימי מזומנים.</t>
  </si>
  <si>
    <t>לאחר תרגול זה ו/או הרחבותיו שאוסיף למענכם לפי הצורך, תהיו סמוכים ובטוחים ביכולתכם לפתור את תרגיל</t>
  </si>
  <si>
    <t xml:space="preserve">בית מס׳ 4 על כלל סוגיותיו. </t>
  </si>
  <si>
    <t>שאלה 1 - מחיר אג״ח צמודה וההשפעה של אינפלציה על שוויה</t>
  </si>
  <si>
    <t xml:space="preserve">חברת ״יעלים״ הנפיקה הרגע אג״ח ל-8 שנים, אשר ערכה הנקוב 100 ש״ח. האג״ח צמודה, והיא נושאת ריבית </t>
  </si>
  <si>
    <t xml:space="preserve">קופון בשיעור שנתי של 5%. </t>
  </si>
  <si>
    <t>הריבית הריאלית השנתית בשוק היא 3%.</t>
  </si>
  <si>
    <t>א. מהו מחיר האג״ח במועד ההנפקה?</t>
  </si>
  <si>
    <t>ב. מה יהיה מחיר האג״ח בחלוף שנה, מיד לאחר תשלום הקופון הראשון, אם ידוע שהריבית הריאלית בשוק עודנה 3%</t>
  </si>
  <si>
    <t>נדרש א - מחיר אג״ח צמודה במועד הנפקתה</t>
  </si>
  <si>
    <t>solve</t>
  </si>
  <si>
    <t>SET</t>
  </si>
  <si>
    <t>N</t>
  </si>
  <si>
    <t>נדרש ב - מחיר אג״ח בחלוף שנה, אחרי תשלום קופון אחד</t>
  </si>
  <si>
    <t>ההצמדה:</t>
  </si>
  <si>
    <t>וכי האינפלציה בשנה זו היא 2%.</t>
  </si>
  <si>
    <t>שווי האג״ח הכולל,</t>
  </si>
  <si>
    <t xml:space="preserve">בערכים כספיים </t>
  </si>
  <si>
    <t>נומינלי</t>
  </si>
  <si>
    <t>שווי אג״ח</t>
  </si>
  <si>
    <t>ריאלי,</t>
  </si>
  <si>
    <t>לפני</t>
  </si>
  <si>
    <t>התחשבות</t>
  </si>
  <si>
    <t>בהצמדה</t>
  </si>
  <si>
    <t xml:space="preserve">בגין </t>
  </si>
  <si>
    <t>אינפלציה בשנה / השנים שחלפו</t>
  </si>
  <si>
    <t>האינפלציה הכולל בשנה</t>
  </si>
  <si>
    <t>אפשר כמובן גם לחשב יעלית / מתמטית:</t>
  </si>
  <si>
    <t>לפני 4 שנים ו-8 חודשים בנק המועלים העניק הלוואה של 500 ש״ח בריבית נומינלית חודשית של 2%. כעת קיבל</t>
  </si>
  <si>
    <t>את ההחזר במלואו. האינפלציה בכל אחת מ-3 השנים הראשונות היתה 7%, בשנה הרביעית 8% וב-8 החודשים</t>
  </si>
  <si>
    <t xml:space="preserve">הנותרים 4%. </t>
  </si>
  <si>
    <t>א. מהי הריבית הנומינלית האפקטיבית לתקופת ההלוואה?</t>
  </si>
  <si>
    <t>ב. מהי האינפלציה בתקופה הרלוונטית?</t>
  </si>
  <si>
    <t>נדרש א</t>
  </si>
  <si>
    <t>את הריבית האפקטיבית ניתן לחשב על בסיס הנוסחה הממירה ריבית אפקטיבית מתקופה אחת לאחרת, קרי באמצעות</t>
  </si>
  <si>
    <t>מעריך חזקה מתאים בלבד, כך:</t>
  </si>
  <si>
    <t>גם האינפלציה מחושבת באופן דומה למדי לריבית אפקטיבית, על בסיס כפל בין הגורמים הרלוונטיים ותוך שימוש</t>
  </si>
  <si>
    <t>בחזקה אם קיים שיעור אינפלציה תקופתי ש״חוזר על עצמו״ מספר פעמים:</t>
  </si>
  <si>
    <t>נדרש ב</t>
  </si>
  <si>
    <t>נדרש ג</t>
  </si>
  <si>
    <t>כדי לחשב את הריבית הריאלית לכל התקופה, יש להתבסס על היחס בין 1 בתוספת שיעור התשואה הכולל הנומינלי</t>
  </si>
  <si>
    <t xml:space="preserve">לתקופה, לבין 1 ועוד שיעור האינפלציה לתקופה, כל זה - פחות אחת. </t>
  </si>
  <si>
    <t>נדרש ד</t>
  </si>
  <si>
    <t>כדי להמיר את שיעור התשואה הריאלי (הריבית הריאלית) מתקופה של 4 שנים ו-8 חודשים לתקופה של שנה,</t>
  </si>
  <si>
    <t xml:space="preserve">צריך להשתמש במעריך חזקה מתאים. </t>
  </si>
  <si>
    <t>שאלה 3 - הלוואה בריבית נומינלית ואינפלציה, משוואת פישר</t>
  </si>
  <si>
    <t>שאלה 2 - אג״ח צמודה יישום נוסף</t>
  </si>
  <si>
    <t xml:space="preserve">לפני 3 שנים הונפקה אג״ח לתקופה של 10 שנים. </t>
  </si>
  <si>
    <t xml:space="preserve">האג״ח בערך נקוב של 100 ש״ח, צמודה למדד ומשלמת קופונים בשיעור 7% לשנה, בסוף כל שנה. </t>
  </si>
  <si>
    <t xml:space="preserve">שיעור האינפלציה בשנה הראשונה היה 14% ובשנה השניה והשלישית 12% לשנה. </t>
  </si>
  <si>
    <t xml:space="preserve">הריבית הריאלית השנתית ל-7 השנים הקרובות היא 4%. </t>
  </si>
  <si>
    <t xml:space="preserve">ב. חשבו את שיעור האינפלציה כולל ל-3 השנים. </t>
  </si>
  <si>
    <t>ג. מהו מחיר האג״ח היום, מיד אחרי תשלום הקופון?</t>
  </si>
  <si>
    <t>ד. מהו מחיר האג״ח בסוף השנה ה-4 ולפני תשלום הקופון, אם ידוע שבשנה הריבית האינפלציה היתה 8%, וצפוי שהריבית</t>
  </si>
  <si>
    <t>הריאלית השנתית ב-6 השנים הקרובות תהיה 3%?</t>
  </si>
  <si>
    <t xml:space="preserve">קליל ביותר. מדובר בתזרים הצפוי, בהתעלמות טוטאלית מהשפעות הצמדה ואינפלציה. </t>
  </si>
  <si>
    <t>זמן</t>
  </si>
  <si>
    <t>תזרים</t>
  </si>
  <si>
    <t xml:space="preserve">א. הציגו את תזרים המזומנים הריאלי מהאג״ח לכל אורך חייה. </t>
  </si>
  <si>
    <t>טינדר שי</t>
  </si>
  <si>
    <t>חישוב ערך נוכחי של התזרימים:</t>
  </si>
  <si>
    <t>ריבית ריאלית עדכנית ערב התחשיב</t>
  </si>
  <si>
    <t>מספר התשלומים הקבועים שנותרו</t>
  </si>
  <si>
    <t>סכום הקופון לאחר התאמה לאינפלציה</t>
  </si>
  <si>
    <t>סכום הערך הנקוב לאחר התרמה לאינפלציה</t>
  </si>
  <si>
    <t>נדרש ד - מחיר אג״ח בחלוף 4 שנים</t>
  </si>
  <si>
    <t>בשונה מנדרש ג, שכלל התייחסות לסכומי תזרים הנשענים על הצמדה ל-3 שנים על בסיס נדרש ב, כאן צריך לחשב מחדש</t>
  </si>
  <si>
    <t>את האינפלציה הכוללת לכל 4 שנים על בסיס נתוני האינפלציה לשנה 4. כך נקבל:</t>
  </si>
  <si>
    <t>שאלה 4 - הסקת ריבית מנתוני עסקאות והצמדה</t>
  </si>
  <si>
    <t>במשק קוקי סאן ז׳אק מוצעות העסקאות הבאות:</t>
  </si>
  <si>
    <t>עסקה</t>
  </si>
  <si>
    <t>מכונת נקניק</t>
  </si>
  <si>
    <t>מחשב נייד</t>
  </si>
  <si>
    <t>בסיס הצמדה</t>
  </si>
  <si>
    <t>לא צמוד</t>
  </si>
  <si>
    <t>צמוד</t>
  </si>
  <si>
    <t>א. מהו שיעור הריבית הנומינלית ל-4 השנים הקרובות?</t>
  </si>
  <si>
    <t>ב. מהו שיעור האינפלציה הצפוי לכל 4 השנים הקרובות?</t>
  </si>
  <si>
    <t>ג. מהו קצב האינפלציה השנתי?</t>
  </si>
  <si>
    <t>ד. אם שיעור האינפלציה הצפוי בכל אחת מ-3 השנים הקרובות הוא 1%, מהו שיעור האינפלציה הצפוי בשנה ה-4?</t>
  </si>
  <si>
    <t>פתרון</t>
  </si>
  <si>
    <t>נדרש א - ריבית נומינלית</t>
  </si>
  <si>
    <t>הלוואה עבור</t>
  </si>
  <si>
    <t>הריבית הנומינלית תחולץ מנתוני עסקה נומינלית - לא צמודה. הואיל והתזרימים בתחילת ובתום התקופה ידועים</t>
  </si>
  <si>
    <t>ניתן להתבסס על היחס ביניהם לחילוץ הריבית האפקטיבית הנומינלית:</t>
  </si>
  <si>
    <t>נדרש ב - שיעור אינפלציה</t>
  </si>
  <si>
    <t>הפעם, נשתמש בנתוני התוכנית הצמודה.</t>
  </si>
  <si>
    <t>שלב 2: נשתמש במשוואת פישר על מנת לחלץ את האינפלציה לתקופה הרלוונטית:</t>
  </si>
  <si>
    <t>נדרש ג - תקנון שיעור האינפלציה לשנתי</t>
  </si>
  <si>
    <t>על פי נתוני נדרש ב ונוסחת המרת האינפלציה מתקופה לתקופה (דומה להמרת ריבית אפקטיבית מתקופה לתקופה)</t>
  </si>
  <si>
    <t>נתקנן את שיעור האינפלציה לשנתי</t>
  </si>
  <si>
    <t>מספר התזרימים - כל שנה, 8 שנים</t>
  </si>
  <si>
    <t>קופון תקופתי = ריבית קופון (5%) * ערך נקוב (100)</t>
  </si>
  <si>
    <t>התשובה: 114.04</t>
  </si>
  <si>
    <t>מה יהיה מחיר האג״ח בחלוף שנה, מיד לאחר תשלום הקופון הראשון, אם ידוע שהריבית הריאלית בשוק עודנה 3%</t>
  </si>
  <si>
    <t xml:space="preserve">תזכורת: אג״ח ל-8 שנים בסך הכל, בריבית נקובה 5%. </t>
  </si>
  <si>
    <t>מספר התזרימים שנותרו: לפי 8 בסה״כ, בניכוי 1 שבוצע</t>
  </si>
  <si>
    <t>קופון תקופתי לפי ריבית נקובה 5% כפול ערך נקוב 100</t>
  </si>
  <si>
    <t>לפני הצמדה</t>
  </si>
  <si>
    <t>שימו לב:</t>
  </si>
  <si>
    <t>בנדרש קודם - שדרש</t>
  </si>
  <si>
    <t>שווי אג״ח בהנפקה, ה-PV</t>
  </si>
  <si>
    <t>של התזרימים הבסיסיים</t>
  </si>
  <si>
    <t>היה השווי בהנפקה נקודה (כי אינפלציה</t>
  </si>
  <si>
    <t xml:space="preserve">טרם התרחשה ערב ההנפקה). </t>
  </si>
  <si>
    <t>לעומת זאת, בנדרש זה - חישוב ה - PV</t>
  </si>
  <si>
    <t>של *יתרת* התזרימים הבסיסיים</t>
  </si>
  <si>
    <t xml:space="preserve">היא השווי הריאלי (לפני הצמדה) </t>
  </si>
  <si>
    <t xml:space="preserve">בחלוף שנה, ולא השווי הסופי. </t>
  </si>
  <si>
    <t>שווי ריאלי *לפני הצמדה*</t>
  </si>
  <si>
    <r>
      <rPr>
        <u/>
        <sz val="12"/>
        <color theme="1"/>
        <rFont val="David"/>
        <family val="2"/>
        <charset val="177"/>
      </rPr>
      <t>בשלב ראשון</t>
    </r>
    <r>
      <rPr>
        <sz val="12"/>
        <color theme="1"/>
        <rFont val="David"/>
        <family val="2"/>
        <charset val="177"/>
      </rPr>
      <t>, נחשב בהתאם את מחיר האג״ח בחלוף שנה - במונחים ריאליים (״לפני הצמדה״) - תוך שינוי ה-N (לתזרימים שנותרו) והתעלמות מוחלטת מאלמנט</t>
    </r>
  </si>
  <si>
    <r>
      <rPr>
        <u/>
        <sz val="12"/>
        <color theme="1"/>
        <rFont val="David"/>
        <family val="2"/>
        <charset val="177"/>
      </rPr>
      <t>בשלב השני</t>
    </r>
    <r>
      <rPr>
        <sz val="12"/>
        <color theme="1"/>
        <rFont val="David"/>
        <family val="2"/>
        <charset val="177"/>
      </rPr>
      <t xml:space="preserve">, נצמיד את מחיר האג״ח למדד - בהתאם לאינפלציה בתקופה שחלפה (בשנה שחלפה - כנתון 2%). </t>
    </r>
  </si>
  <si>
    <t>הערך 𝜋 מסמל את שיעור</t>
  </si>
  <si>
    <r>
      <t xml:space="preserve">או </t>
    </r>
    <r>
      <rPr>
        <b/>
        <sz val="12"/>
        <color theme="1"/>
        <rFont val="David"/>
        <family val="2"/>
        <charset val="177"/>
      </rPr>
      <t>בשנים שחלפו</t>
    </r>
  </si>
  <si>
    <t>קרי אינפלציה כוללת</t>
  </si>
  <si>
    <t>לכל התקופה עד כה</t>
  </si>
  <si>
    <t>תשובה סופית:</t>
  </si>
  <si>
    <t>שווי אג״ח (כספית / נומינלי)</t>
  </si>
  <si>
    <t>בחלוף שנה מההנפקה</t>
  </si>
  <si>
    <t>תשובה: 114.71</t>
  </si>
  <si>
    <t>תזרים ריאלי</t>
  </si>
  <si>
    <t>התזרים הנומינלי / הכולל</t>
  </si>
  <si>
    <t>חושב על ידי מכפלה פשוטה של התזרים הריאלי</t>
  </si>
  <si>
    <t>7 * (1 + 43%) = 10</t>
  </si>
  <si>
    <t>107 * (1 + 43%) = 153</t>
  </si>
  <si>
    <r>
      <t xml:space="preserve">ריבית ריאלית עדכנית ערב התחשיב </t>
    </r>
    <r>
      <rPr>
        <b/>
        <u/>
        <sz val="12"/>
        <color theme="1"/>
        <rFont val="David"/>
        <family val="2"/>
        <charset val="177"/>
      </rPr>
      <t>נתון</t>
    </r>
    <r>
      <rPr>
        <sz val="12"/>
        <color theme="1"/>
        <rFont val="David"/>
        <family val="2"/>
        <charset val="177"/>
      </rPr>
      <t xml:space="preserve"> 4%</t>
    </r>
  </si>
  <si>
    <r>
      <t xml:space="preserve">הקופון לאחר התאמה לאינפלציה - </t>
    </r>
    <r>
      <rPr>
        <b/>
        <u/>
        <sz val="12"/>
        <color theme="1"/>
        <rFont val="David"/>
        <family val="2"/>
        <charset val="177"/>
      </rPr>
      <t>נומינלי</t>
    </r>
  </si>
  <si>
    <t xml:space="preserve">100 * (1 + 43%) = </t>
  </si>
  <si>
    <t>מחיר האג״ח אחרי 3 שנים</t>
  </si>
  <si>
    <t>א. חישוב PV של תזרימי אג״ח ריאליים, בהתעלם מהצמדות.</t>
  </si>
  <si>
    <t>ב. מכפלת ה-PV הריאלי באחת ועוד האינפלציה לתקופה הכוללת.</t>
  </si>
  <si>
    <r>
      <t xml:space="preserve">בשאלה </t>
    </r>
    <r>
      <rPr>
        <b/>
        <u/>
        <sz val="12"/>
        <color theme="1"/>
        <rFont val="David"/>
        <family val="2"/>
        <charset val="177"/>
      </rPr>
      <t>הקודמת</t>
    </r>
    <r>
      <rPr>
        <sz val="12"/>
        <color theme="1"/>
        <rFont val="David"/>
        <family val="2"/>
        <charset val="177"/>
      </rPr>
      <t xml:space="preserve"> אופן חישוב המחיר של אג״ח צמודה היה כדקלמן:</t>
    </r>
  </si>
  <si>
    <r>
      <t xml:space="preserve">בשאלה </t>
    </r>
    <r>
      <rPr>
        <b/>
        <u/>
        <sz val="12"/>
        <color theme="1"/>
        <rFont val="David"/>
        <family val="2"/>
        <charset val="177"/>
      </rPr>
      <t>הנוכחית</t>
    </r>
    <r>
      <rPr>
        <sz val="12"/>
        <color theme="1"/>
        <rFont val="David"/>
        <family val="2"/>
        <charset val="177"/>
      </rPr>
      <t>, אופן חישוב המחיר של אג״ח צמודה בוצע בדרך אחרת ושקולה:</t>
    </r>
  </si>
  <si>
    <t>א. מחשבים את תזרימי האג״ח הריאליים.</t>
  </si>
  <si>
    <t>ב. מצמידים את התזרימים הריאליים למדד (על ידי מכפלת כל תזרים ותזרים ב-1 ועוד אינפלציה לתקופה כוללת)</t>
  </si>
  <si>
    <r>
      <t xml:space="preserve">ג. מחשבים PV לתזרים </t>
    </r>
    <r>
      <rPr>
        <b/>
        <u/>
        <sz val="12"/>
        <color theme="1"/>
        <rFont val="David"/>
        <family val="2"/>
        <charset val="177"/>
      </rPr>
      <t>הצמוד</t>
    </r>
    <r>
      <rPr>
        <b/>
        <sz val="12"/>
        <color theme="1"/>
        <rFont val="David"/>
        <family val="2"/>
        <charset val="177"/>
      </rPr>
      <t xml:space="preserve"> והתוצאה המתקבלת היא למעשה שווי כולל. </t>
    </r>
  </si>
  <si>
    <r>
      <t xml:space="preserve">ד. מהו מחיר האג״ח בסוף השנה ה-4 </t>
    </r>
    <r>
      <rPr>
        <b/>
        <i/>
        <u/>
        <sz val="14"/>
        <color theme="1"/>
        <rFont val="David"/>
        <family val="2"/>
        <charset val="177"/>
      </rPr>
      <t>ולפני תשלום הקופון</t>
    </r>
    <r>
      <rPr>
        <i/>
        <sz val="12"/>
        <color theme="1"/>
        <rFont val="David"/>
        <family val="2"/>
        <charset val="177"/>
      </rPr>
      <t>, אם ידוע שבשנה הרביעית האינפלציה היתה 8%, וצפוי שהריבית</t>
    </r>
  </si>
  <si>
    <t>תזרים נומינלי  - אחרי הצמדה</t>
  </si>
  <si>
    <t>בסעיפים קודמים גילינו:</t>
  </si>
  <si>
    <t>סך אינפלציה שנים 1-3:</t>
  </si>
  <si>
    <t>אינפלציה שנה 4:</t>
  </si>
  <si>
    <t>סך אינפלציה שנים 1-4:</t>
  </si>
  <si>
    <t>ביישום:</t>
  </si>
  <si>
    <t xml:space="preserve">זכרו: ה-N הוא מספר תזרימי המזומנים ולא מספר התקופות. </t>
  </si>
  <si>
    <t xml:space="preserve">לכן, ה-N כאן שמייצג את התזרים הקרוב בזמן 4 בתוספת 6 תזרימים 5-10 הוא 7. </t>
  </si>
  <si>
    <t>שווי האג״ח כעת - לזמן 3:</t>
  </si>
  <si>
    <t>מדוע קיבלנו את שווי האג״ח לזמן 3?</t>
  </si>
  <si>
    <t>כי ערך נוכחי של סדרה, גם במחשבון וגם מתמטית, לוקח אותנו תמיד לנקודת הזמן שהיא ״אחת אחורה״ לפני התזרים הראשון בסדרה.</t>
  </si>
  <si>
    <t xml:space="preserve">אם התזרים הראשון שמהוון הוא בזמן 4, ללכת ״אחת אחורה״ אומר שהגענו לזמן 3. </t>
  </si>
  <si>
    <t>לכן, את התוצאה הזו צריך לתקן קדימה על ידי מכפלה ב-1 ועוד הריבית פעם אחת:</t>
  </si>
  <si>
    <t xml:space="preserve">192.93 * (1 + 3%) = </t>
  </si>
  <si>
    <t>(*)</t>
  </si>
  <si>
    <t>אפשר כחלופה לחישוב ערך שקופץ לזמן 3 + התאמתו לזמן 4,</t>
  </si>
  <si>
    <t xml:space="preserve">לבצע חישוב של 6 תזרימים בלבד (מזמן 5 עד וכולל זמן 10) ולהוסיף ״ידנית״ קופון חד פעמי בזמן 4. </t>
  </si>
  <si>
    <t>END</t>
  </si>
  <si>
    <t>הריבית חודשית, מעריך החזקה הוא מספר</t>
  </si>
  <si>
    <t>החודשים בתקופה המוגדרת - 4 שנים ו-8 חודשים</t>
  </si>
  <si>
    <t>שימו לב, אם נתונה ריבית חודשית ללא מידע נוסף, אין צורך לחלק או לכפול אותה אלא רק להמיר באמצעות חזקה.</t>
  </si>
  <si>
    <t>נתון: האינפלציה בכל אחת מ-3 השנים הראשונות היתה 7%, בשנה הרביעית 8% וב-8 החודשים</t>
  </si>
  <si>
    <t xml:space="preserve">תשובה </t>
  </si>
  <si>
    <t>ריבית נומינלית</t>
  </si>
  <si>
    <t>לכל התקופה</t>
  </si>
  <si>
    <t>אינפלציה</t>
  </si>
  <si>
    <t>משוואת פישר שיודעת לייצר קשרים בין ריבית ריאלית, נומינלית ואינפלציה:</t>
  </si>
  <si>
    <t>פיתוח המשוואה לצרכים של חילוץ ריבית ריאלית על בסיס נתוני ריבית נומינלית</t>
  </si>
  <si>
    <t>כוללת ואינפלציה כוללת:</t>
  </si>
  <si>
    <t>ריבית ריאלית לכל 4 השנים ו-8 החודשים:</t>
  </si>
  <si>
    <t>ריבית ריאלית</t>
  </si>
  <si>
    <t>תקנון ריביות (ריאליות ונומינליות) מתקופה ארוכה לקצרה מבצעים באמצעות מעריך מתאים (שבר):</t>
  </si>
  <si>
    <t>ריבית ריאלית במונחים שנתיים</t>
  </si>
  <si>
    <t xml:space="preserve">שלב 1: נחשב את הריבית הריאלית הכוללת לכל 4 השנים הקרובות באמצעות חישוב דומה לקודם. </t>
  </si>
  <si>
    <t>יחולץ בתור הערך המשלים את שיעור האינפלציה הנתון ביתר השנים לשיעור האינפלציה הכולל שמצאנו בנדרש ב</t>
  </si>
  <si>
    <t>של כלל תזרימי הפרויקט. הגודל המתקבל הוא ״נקי״ וסופי במובן זה שהוא משקף את כל השפעות הזמן, לרבות</t>
  </si>
  <si>
    <r>
      <rPr>
        <b/>
        <sz val="12"/>
        <color theme="1"/>
        <rFont val="David"/>
        <family val="2"/>
        <charset val="177"/>
      </rPr>
      <t>א. קריטריון הענ״נ - ערך נוכחי נקי - NPV - Net Present Value:</t>
    </r>
    <r>
      <rPr>
        <sz val="12"/>
        <color theme="1"/>
        <rFont val="David"/>
        <family val="2"/>
        <charset val="177"/>
      </rPr>
      <t xml:space="preserve"> מייצג את הערך הנוכחי הכספי הנקי (שווי להיום)</t>
    </r>
  </si>
  <si>
    <t>התזרימים החיוביים, השליליים ועיתויים. ככלל, פרויקט שהענ״נ שלו חיובי (NPV&gt;0) הוא כדאי; אך במצבים שבהם</t>
  </si>
  <si>
    <t xml:space="preserve">נדרש לבצע בחירה בין פרויקטים, ככלל, לפי קריטריון הענ״נ יועדף הפרויקט שענ״נו הוא הגבוה מביניהם. </t>
  </si>
  <si>
    <t>הממוצע על ההשקעה, באחוזים. פרויקט שה-IRR שלו 10% למשל, משמעו שהתשואה (״הריבית בפועל״ / התשואה</t>
  </si>
  <si>
    <t xml:space="preserve">בפועל) על הסכום שהושקע היא 10% לתקופה (לשנה בדרך כלל). </t>
  </si>
  <si>
    <t>קריטריון השת״פ בפני עצמו לא מעיד על כדאיות במובן זה, ששת״פ חיובי איננו מעיד על כדאיות פרויקט, הואיל</t>
  </si>
  <si>
    <t>וצריך גם להביא לידי ביטוי את התשואה הנדרשת - שנקראת מחיר ההון. בשפה פשוטה, כדי שפרויקט יהיה כדאי</t>
  </si>
  <si>
    <t>נדר שיתקיים IRR&gt;k ובעברית - שה-IRR גבוה יותר ממחיר ההון. בדרך כזו ניתן לומר שהפרויקט מניב תשואה</t>
  </si>
  <si>
    <t xml:space="preserve">עודפת למשקיעים (מעבר לנדרש). </t>
  </si>
  <si>
    <r>
      <rPr>
        <b/>
        <sz val="12"/>
        <color theme="1"/>
        <rFont val="David"/>
        <family val="2"/>
        <charset val="177"/>
      </rPr>
      <t>ב. קריטריון השת״פ - שיעור תשואה פנימי - IRR - Internal Rate of Return:</t>
    </r>
    <r>
      <rPr>
        <sz val="12"/>
        <color theme="1"/>
        <rFont val="David"/>
        <family val="2"/>
        <charset val="177"/>
      </rPr>
      <t xml:space="preserve"> מייצג את שיעור התשואה התקופתי</t>
    </r>
  </si>
  <si>
    <t>בחינת כדאיות פרויקטים (שלדידנו מתבטאים במבנה תזרימי נתון) מתבססת אצלנו על שני קריטריונים:</t>
  </si>
  <si>
    <t>שאלה 1 - בחירה בין פרויקטים המוציאים זה את זה, וסתירה בין ענ״נ לשת״פ הנובעת  מהשקעה שונה</t>
  </si>
  <si>
    <t xml:space="preserve">להלן תזרימי המזומנים הצפויים משני פרויקטים המוציאים זה את זה, אשר חברת ״רמי״ בע״מ יכולה להשקיע </t>
  </si>
  <si>
    <t xml:space="preserve">באחד מביניהם בלבד. </t>
  </si>
  <si>
    <t>פרויקט נקניק</t>
  </si>
  <si>
    <t>פרויקט מחשב</t>
  </si>
  <si>
    <t>סימון</t>
  </si>
  <si>
    <t>M</t>
  </si>
  <si>
    <t>השקעה</t>
  </si>
  <si>
    <t>שם פרויקט</t>
  </si>
  <si>
    <t>ג. איזה פרויקט יועדף לפי כל קריטריון?</t>
  </si>
  <si>
    <t>ד. מהי הסיבה להבדל בדירוג בין הקריטריונים בסעיף ג לעיל?</t>
  </si>
  <si>
    <t>ה. מהו הקריטריון הנכון כלכלית להכרעה בין הפרויקטים? מדוע?</t>
  </si>
  <si>
    <t xml:space="preserve">ו. שרטטו את גרף עקומי הענ״נ (NPV) של הפרויקטים כפונקציה של מחיר ההון (שיעור הריבית) וזהו את שיעור </t>
  </si>
  <si>
    <t xml:space="preserve">הריבית שבו העקומים נחתכים. </t>
  </si>
  <si>
    <t>נקניק חם</t>
  </si>
  <si>
    <t>נקניק קר</t>
  </si>
  <si>
    <t>NH</t>
  </si>
  <si>
    <t>NK</t>
  </si>
  <si>
    <t xml:space="preserve">נדרש: </t>
  </si>
  <si>
    <t>חברת ״טופ ג׳י״ יכולה להשקיע בפרויקטים הבאים:</t>
  </si>
  <si>
    <t>שאלה 2 - הצגה גרפית של עקום הענ״נ, חישוב שת״פ וטווח שערי ריבית לכדאיות</t>
  </si>
  <si>
    <t xml:space="preserve">א. חשבו את השת״פ של כל אחד מהפרויקטים. </t>
  </si>
  <si>
    <t>ב. האם הפרויקטים כדאיים בשער ריבית של 5%.</t>
  </si>
  <si>
    <t xml:space="preserve">ג. שרטטו גרף NPV עבור הפרויקטים, בשערי ריבית שבין 0% ל-500%. </t>
  </si>
  <si>
    <t>שאלה 3 - מחיר הון המביא לאיזון בין חלופות</t>
  </si>
  <si>
    <t xml:space="preserve">בסכום של 600,000 ש״ח לתום כל שנה, לאינסוף. </t>
  </si>
  <si>
    <t>המטרה של בניית תזרימי מזומנים לתוכניות השקעה היא להתייחס להרכב התזרימי של פרויקטים - סוגי ההכנסות,</t>
  </si>
  <si>
    <t>ההוצאות לרבות השפעות המס בגינן, כדי להגיע לתזרים נטו (לפני עלויות מימון) אשר חישוב ערכו הנוכחי הנקי</t>
  </si>
  <si>
    <t xml:space="preserve">או ה-NPV שלו, מוביל לשווי הפרויקט (ענ״נ). </t>
  </si>
  <si>
    <t>המבנה הכללי של תבנית העבודה הנו:</t>
  </si>
  <si>
    <t>סעיף</t>
  </si>
  <si>
    <t>מכירות / הכנסות עיקריות</t>
  </si>
  <si>
    <t>הוצאות תזרימיות שוטפות</t>
  </si>
  <si>
    <t>הוצאות פחת (לא תזרימי)</t>
  </si>
  <si>
    <t>רווח לפני מס</t>
  </si>
  <si>
    <t>מסים על ההכנסה</t>
  </si>
  <si>
    <t>התאמה - השקעות</t>
  </si>
  <si>
    <t>התאמה - החזר פחת</t>
  </si>
  <si>
    <t>סך תזרים נטו</t>
  </si>
  <si>
    <t>רווח נקי (ללא הוצ׳ מימון)</t>
  </si>
  <si>
    <t>עוקבות</t>
  </si>
  <si>
    <t>+</t>
  </si>
  <si>
    <t>(-)</t>
  </si>
  <si>
    <t>=</t>
  </si>
  <si>
    <t>שאלה 1</t>
  </si>
  <si>
    <t xml:space="preserve">חברת טופ ג׳י שוקלת לבצע פרויקט. להלן נתונים רלוונטיים: </t>
  </si>
  <si>
    <t>א. הפרויקט דורש השקעה במכונה לחימום נקניק שאורך חייה הכלכליים 4 שנים ועלותה 100,000 ש״ח.</t>
  </si>
  <si>
    <t xml:space="preserve">ב. ההכנסה השנתית מחימום הנקניק צפויה היות 80,000 ש״ח. </t>
  </si>
  <si>
    <t>ד. עלויות חיטוי המכונה צפויות להיות 10,000 ש״ח לשנה הראשונה, 12,000 ש״ח לשנה השניה, ובכל שנה עוקבת</t>
  </si>
  <si>
    <t xml:space="preserve">הן תגדלנה ב-4% (YOY). </t>
  </si>
  <si>
    <t xml:space="preserve">ו. מחיר ההון של החברה הנו 10% לשנה. </t>
  </si>
  <si>
    <t xml:space="preserve">ז. שיעור המס החל על החברה הוא 23%. </t>
  </si>
  <si>
    <t xml:space="preserve">א. בנו את תזרים הפרויקט וחשבו את ענ״נו (ה-NPV שלו). </t>
  </si>
  <si>
    <t xml:space="preserve">ב. הניחו כעת שהחברה יכולה לקבל סכום חד פעמי פטור ממס לטובת מכירת הפרויקט בתום השנה השניה שלו. </t>
  </si>
  <si>
    <t xml:space="preserve">מהו הסכום המינימלי שהחברה תדרוש (הדרכה: זהו למעשה הענ״נ של שנים 3 ואילך, במונחי זמן 2). </t>
  </si>
  <si>
    <t>שאלה 2</t>
  </si>
  <si>
    <t>חברת גריזלדה בכפר שוקלת לבצע פרויקט. להלן נתונים רלוונטיים:</t>
  </si>
  <si>
    <t xml:space="preserve">א. הפרויקט דורש השקעה במכונה לחימום נקניק בסך 300,000 ש״ח המופחתת על פני 5 שנים. </t>
  </si>
  <si>
    <t xml:space="preserve">ג. הרווח השנתי (לפני פחת ומימון) הוא 90,000 ש״ח. </t>
  </si>
  <si>
    <t xml:space="preserve">ד. משך הפרויקט 6 שנים. </t>
  </si>
  <si>
    <t xml:space="preserve">ה. שיעור המס החל על החברה הוא 23%. </t>
  </si>
  <si>
    <t>ו. מחיר ההון של החברה הוא 12% לשנה.</t>
  </si>
  <si>
    <t>נדרש: האם הפרויקט כדאי?</t>
  </si>
  <si>
    <t>שאלה 3</t>
  </si>
  <si>
    <t>חברת צ׳וריסוס שוקלת להשקיע 100,000 ש״ח בציוד חדש לחימום נקניק.</t>
  </si>
  <si>
    <t>להלן פרטים רלוונטיים:</t>
  </si>
  <si>
    <t xml:space="preserve">ב. בתום השנה ה-4 הציוד צפוי להמכר תמורת 20,000 ש״ח. </t>
  </si>
  <si>
    <t xml:space="preserve">ג. הפחת הוא בשיטת הקו הישר על פני 4 שנים. </t>
  </si>
  <si>
    <t xml:space="preserve">ד. שיעור מס החברות 23%. </t>
  </si>
  <si>
    <t xml:space="preserve">א. הציוד יופעל במשך 4 שנים ויוביל להכנסות בסך של 60,000 ש״ח לשנה. </t>
  </si>
  <si>
    <t>התאמה - מכר השקעה</t>
  </si>
  <si>
    <t xml:space="preserve">נדרש: האם ההשקעה כדאית? בססו תשובתכם על חישוב רלוונטי. </t>
  </si>
  <si>
    <t xml:space="preserve">חברת ״יעלים״ מחזיקה במכונה ענקית לחימום נקניק המניבה תזרים שנתי נקי נטו בסוף כל שנה בסך 400,000 ש״ח, </t>
  </si>
  <si>
    <t xml:space="preserve">לאינסוף. </t>
  </si>
  <si>
    <t>נדרש: מהו מחיר ההון המוביל לאיזון / אדישות בין החלופות?</t>
  </si>
  <si>
    <t>ידוע שהשקעה בסכום של 2,000,000 ש״ח בשיפור קצב חימום הנקניק, ההכנסות תפסקנה אך תתחדשנה בעוד שנתיים</t>
  </si>
  <si>
    <t xml:space="preserve">הדרכה: יש להציג את תזרימי המזומנים ולבטא מתמטית את הערך הנוכחי של המצב הקיים ושל המצב המוצע, </t>
  </si>
  <si>
    <t>ולהשוות בין הערכים. הפתרון המתקבל יבוצע מתמטית, אבל בהינתן שהבחינה רבת - ברירה, אפשר להציב את הערכים</t>
  </si>
  <si>
    <t xml:space="preserve">הרלוונטיים אם החילוץ ארוך ומעייף עבורכם. </t>
  </si>
  <si>
    <t xml:space="preserve">ד. מהו תחום שערי הריבית בו כדאי כל פרויקט (בנפרד). </t>
  </si>
  <si>
    <t>פתרון סעיף א</t>
  </si>
  <si>
    <t>כאשר משך הפרויקט בשנים לא ידוע, הנחה לגיטימית מאד היא לטעון שמשך הפרויקט זהה לאורך החיים</t>
  </si>
  <si>
    <t>הכלכליים (תקופת השימוש הצפויה) בנכס ההשקעה המשרת את הפרויקט.</t>
  </si>
  <si>
    <t xml:space="preserve">בשפה פשוטה: כאן מכונת הנקניק בעלת אורך חיים כלכלי נתון של 4 שנים, לכן הטבלה ל-4 שנים.  </t>
  </si>
  <si>
    <t>הוצאות תזרימיות שוטפות - ניקוי וחיטוי</t>
  </si>
  <si>
    <t xml:space="preserve">ה. הפחת על מכונת חימום הנקניק מחושב לפי שיטת הקו הישר על פני שנתיים. </t>
  </si>
  <si>
    <t>מסים על ההכנסה - לפי 23% נתון ז</t>
  </si>
  <si>
    <t>רווח ללא מימון - רווח לפני מס בניכוי מס</t>
  </si>
  <si>
    <t>ברגע שביטאנו את התזרים השנתי נטו, עלינו לחשב את ערכו הנוכחי המצרפי (NPV) בהתחשב במחיר</t>
  </si>
  <si>
    <t xml:space="preserve">ההון, והתוצאה שתתקבל היא למעשה שווי הפרויקט. </t>
  </si>
  <si>
    <t>ניתן לחשב מתמטית או מחשבונית. נציג גם וגם. על פי נתון ו, מחיר ההון 10% לשנה.</t>
  </si>
  <si>
    <t>מחשבונית - ניגשים ללחצן CASH:</t>
  </si>
  <si>
    <t>Cash</t>
  </si>
  <si>
    <t>מחיר ההון בשאלה</t>
  </si>
  <si>
    <t>Csh.Deditor &gt;&gt;&gt; EXE &gt;&gt;&gt;</t>
  </si>
  <si>
    <t>Solve NPV =</t>
  </si>
  <si>
    <t xml:space="preserve">הפרויקט כדאי - מדובר בפרויקט בודד שה-NPV שלו חיובי. </t>
  </si>
  <si>
    <t>פתרון סעיף ב - יש להניח שניתן למכור את הפרויקט בתום השנה ה-2, בפטור ממס</t>
  </si>
  <si>
    <t>שווי נכס, לרבות פרויקט, בכל נקודת זמן - הוא הערך הנוכחי של תזרימיו העתידיים נכון לאותה נקודת זמן.</t>
  </si>
  <si>
    <t xml:space="preserve">בפשטות: מכירת הפרויקט בתום שנה 2, היא זו שרכיבי התזרים שיתמחרו אותה הם אלו בזמן 3 ו-4. </t>
  </si>
  <si>
    <t>במחשבון הפיננסי, אינדקס זמן ״1״ הוא למעשה זמן 0, אינדקס זמן ״2״ הוא למעשה זמן 1 וכן הלאה.</t>
  </si>
  <si>
    <t>אם אני נמצא בתום השנה ה-2, מועד זה הוא זמן ״0״ שלי, ובמועד זה לא צפוי תזרים או השקעה.</t>
  </si>
  <si>
    <t xml:space="preserve">רק בשנים העוקבות, 3 ו-4, שהן בתום שנה ובתום שנתיים מהיום, צפויים תזרימים. </t>
  </si>
  <si>
    <t>עודד: ד״ר צבאן, אם היה נתון שהמטרה היא לתמחר את הפרויקט רגע לפני קבלת תזרים המזומנים הספציפי</t>
  </si>
  <si>
    <t xml:space="preserve">של תום השנה ה-2, אזי כן היה צריך להזין ערך כמותי באינדקס ״1״. </t>
  </si>
  <si>
    <t>הסכום שיידרש כדי למכור את הפרויקט</t>
  </si>
  <si>
    <t xml:space="preserve">הוצאות תזרימיות שוטפות </t>
  </si>
  <si>
    <t>התאמה - השקעות - בקרקע</t>
  </si>
  <si>
    <r>
      <t xml:space="preserve">הוצאות </t>
    </r>
    <r>
      <rPr>
        <sz val="12"/>
        <color rgb="FFFF0000"/>
        <rFont val="David"/>
        <family val="2"/>
        <charset val="177"/>
      </rPr>
      <t>פחת</t>
    </r>
    <r>
      <rPr>
        <sz val="12"/>
        <color theme="1"/>
        <rFont val="David"/>
        <family val="2"/>
        <charset val="177"/>
      </rPr>
      <t xml:space="preserve"> (לא תזרימי)</t>
    </r>
  </si>
  <si>
    <t>מסים על ההכנסה לפי 23%</t>
  </si>
  <si>
    <t>רווח ללא מימון = רווח לפני מס בניכוי מס</t>
  </si>
  <si>
    <t xml:space="preserve">ידוע שמחיר ההון של החברה (ריבית להיוון, %I) הוא 12% לשנה. בהתאם, נחשב את שווי הפרויקט. </t>
  </si>
  <si>
    <t>Csh. DEditor  &gt;&gt;&gt;&gt;&gt;&gt;&gt;&gt;&gt;&gt;&gt;&gt;&gt;&gt;&gt;</t>
  </si>
  <si>
    <t>&lt;&lt;&lt; ESC &lt;&lt;&lt;</t>
  </si>
  <si>
    <t>התאמה - מכר השקעה (*)</t>
  </si>
  <si>
    <t xml:space="preserve">כאשר מבוצעת מכירה של פריט רכוש קבוע (השקעה), ייתכן שייווצר רווח / הפסד הון. </t>
  </si>
  <si>
    <t>רווח / הפסד זה מוגדר בתור ההפרש שבין תמורת המכירה הצפויה לבין העלות המופחתת (עלות</t>
  </si>
  <si>
    <t xml:space="preserve">בניכוי הפחת הנצבר) ערב המכירה. </t>
  </si>
  <si>
    <t>רווח / הפסד זה - ימוסה, ולכן יש לחשב אותו לצד ההשפעה התזרימית ברוטו של המכירה.</t>
  </si>
  <si>
    <t>חישוב העלות המופחתת:</t>
  </si>
  <si>
    <t>פחת נצבר (4 שנים)</t>
  </si>
  <si>
    <t xml:space="preserve">25,000 * 4 = </t>
  </si>
  <si>
    <t>עלות הפריט</t>
  </si>
  <si>
    <t>עלות מופחתת לצורך מס</t>
  </si>
  <si>
    <t>חישוב רווח הון / הפסד הון לפי ההפרש בין תמורת המכירה הצפויה לבין העלות המופחתת ערב המכירה:</t>
  </si>
  <si>
    <t>תמורת המכירה - נתונה</t>
  </si>
  <si>
    <t>עלות מופחתת ערב המכירה</t>
  </si>
  <si>
    <t>רווח הון - הפרש חיובי</t>
  </si>
  <si>
    <t>שיעור המס על רווח ההון</t>
  </si>
  <si>
    <t>מס רווח ההון</t>
  </si>
  <si>
    <t xml:space="preserve">20,000 * 23% = </t>
  </si>
  <si>
    <t>תזרים נטו במכירה:</t>
  </si>
  <si>
    <t xml:space="preserve">20,000 - 4,600 = </t>
  </si>
  <si>
    <t xml:space="preserve">I% </t>
  </si>
  <si>
    <t>Csh. D. Editor</t>
  </si>
  <si>
    <t xml:space="preserve">ענ״נ חיובי - פרויקט כדאי. </t>
  </si>
  <si>
    <t>במפגש המוקלט</t>
  </si>
  <si>
    <t>לא היתה התייחסות</t>
  </si>
  <si>
    <t>מפורשת לרכיב זה</t>
  </si>
  <si>
    <t>בהיעדר מידע מפורש</t>
  </si>
  <si>
    <t>אבל לאחר בדיקה</t>
  </si>
  <si>
    <t>עם הפרופ׳ יש להתייחס</t>
  </si>
  <si>
    <t xml:space="preserve">כדי לחשב את השת״פ, אפשר לפעול ב-2 דרכים. </t>
  </si>
  <si>
    <t xml:space="preserve">הדרך האחת היא לייצר פתרון מתמטי שמבוסס על משוואה מעריכית. </t>
  </si>
  <si>
    <t>הדרך האחרת היא להשתמש במחשבון הפיננסי, ובמקרה הזה, By FAR, היא הדרך המומלצת פרקטית והיא זו שתכלל</t>
  </si>
  <si>
    <t xml:space="preserve">בתדריך (הדרך המתמטית תוצג בפתרון המרצה לתרגיל המקביל במידת הצורך למעוניינים בכך). </t>
  </si>
  <si>
    <t>כל מה שצריך לעשות כדי לחלץ IRR במחשבון פיננסי זה להזין את תזרימי המזומנים ב-CASH לפי הסדר ולבצע</t>
  </si>
  <si>
    <t xml:space="preserve">את ה-SOLVE על שורת ה-IRR. לתשומת לבכם, כי ה-SOLVE על IRR שונה מחילוץ ריבית ב-CMPD שדורש </t>
  </si>
  <si>
    <t>את ה-SOLVE על %I. במלים אחרות, כשעוסקים בפרויקטים וב-CASH, ה-%I הוא לעולם לא ערך מחולץ.</t>
  </si>
  <si>
    <t xml:space="preserve">צריך לחשב את מחיר ההון (אך בכך איננו עוסקים בסעיף זה). </t>
  </si>
  <si>
    <t>א. חשבו את שיעור התשואה הפנימי (השת״פ) של כל פרויקט - IRR</t>
  </si>
  <si>
    <t xml:space="preserve">דגש נוסף שאוכל לתת לכם הוא, שאין כל צורך בהזנת מחיר ההון כדי לחשב IRR. לעומת זאת, כדי לחשב NPV, כן </t>
  </si>
  <si>
    <t>קדימה לעבודה:</t>
  </si>
  <si>
    <t>לא רלוונטי ואין צורך להזינו בחישובי IRR. אפשר להזין אפס אם תרצו, זה לא משנה</t>
  </si>
  <si>
    <t>CSh. D. Editor</t>
  </si>
  <si>
    <t>נקניק</t>
  </si>
  <si>
    <t>מחשב</t>
  </si>
  <si>
    <t>כמובן שלא הזנו את שתי הטבלאות יחד... הזנו רק את תזרימי נקניק, וביצענו SOLVE של IRR.</t>
  </si>
  <si>
    <t xml:space="preserve">נכנסנו שוב ל-D. Editor, הזנו את תזרימי מחשב, וביצענו SOLVE של IRR. </t>
  </si>
  <si>
    <t>IRR נקניק</t>
  </si>
  <si>
    <t>IRR מחשב</t>
  </si>
  <si>
    <t>התשובות לנדרש א:</t>
  </si>
  <si>
    <t xml:space="preserve">תשומת לבכם לכך, שכדי לחשב NPV, חובה להזין את מחיר ההון (בשונה מה-IRR שאיננו רגיש להזנת מחיר ההון או </t>
  </si>
  <si>
    <t xml:space="preserve">היעדרו). </t>
  </si>
  <si>
    <t>גם הפעם, נתמקד בפתרון מחשבוני. את הפתרון הנוסחאתי (שיוביל לתוצאות זהות כמובן) תוכלו לראות בפתרון התרגיל</t>
  </si>
  <si>
    <t xml:space="preserve">מטעם הפרופסור (אם יהיו אי התאמות כלשהן, דברו איתי). </t>
  </si>
  <si>
    <t>NPV נקניק</t>
  </si>
  <si>
    <t>NPV מחשב</t>
  </si>
  <si>
    <r>
      <t xml:space="preserve">ב. חשבו את הערך הנוכחי הנקי (NPV) של כל פרויקט, </t>
    </r>
    <r>
      <rPr>
        <b/>
        <sz val="12"/>
        <color theme="1"/>
        <rFont val="David"/>
        <family val="2"/>
        <charset val="177"/>
      </rPr>
      <t xml:space="preserve">בהנחה שמחיר ההון של החברה 6%. </t>
    </r>
  </si>
  <si>
    <t>התשובות לנדרש ב:</t>
  </si>
  <si>
    <t xml:space="preserve">ב. חשבו את הערך הנוכחי הנקי (NPV) של כל פרויקט, בהנחה שמחיר ההון של החברה 6%. </t>
  </si>
  <si>
    <t>ריכוז הממצאים:</t>
  </si>
  <si>
    <t>NPV</t>
  </si>
  <si>
    <t>IRR</t>
  </si>
  <si>
    <t>פרויקט מועדף לפי הקריטריון</t>
  </si>
  <si>
    <t>שת״פ מירבי</t>
  </si>
  <si>
    <t>ענ״נ מירבי</t>
  </si>
  <si>
    <t>קריטריון</t>
  </si>
  <si>
    <t>הסיבה להבדל בדירוגים היא גודל השקעה שונה. פרויקט נקניק מניב תשואה גבוהה יותר באחוזים, על השקעה כספית</t>
  </si>
  <si>
    <t>נמוכה הרבה יותר - מה שמתרגם במקרה זה לערך כספי (ענ״נ) נמוך משמעותית.</t>
  </si>
  <si>
    <t>מטרת הפירמה היא להשיא ערך כספי לבעלים. הדבר מתאפשר על ידי מיקסום ענ״נ, NPV. לכן הקריטריון הנכון כלכלית</t>
  </si>
  <si>
    <t xml:space="preserve">להכרעה בין הפרויקטים הוא ה-NPV ובמקרה זה יש להעדיף מחשב על נקניק. </t>
  </si>
  <si>
    <t xml:space="preserve">את הפתרון המתמטי הנגזר מהשוואת משוואת הענ״נ תוכלו לבצע בעצמכם ו/או על בסיס הפתרון שיוצג בהמשך. </t>
  </si>
  <si>
    <t>אני אציג לכם טריק טכני, כדלקמן:</t>
  </si>
  <si>
    <t>א. חשבו את הפרויקט ההפרשי - כלומר, קחו את הפרויקט בעל ההשקעה הגבוהה והתזרימים הגבוהים, והחסירו</t>
  </si>
  <si>
    <t>מתזרימיו את התזרימים של הפרויקט הקטן, בעל ההשקעה הקטנה והתזרימים הנמוכים. הזינו אותם ב-CASH.</t>
  </si>
  <si>
    <t>ב. חלצו IRR לתזרימי הפרויקט ההפרשי.</t>
  </si>
  <si>
    <t xml:space="preserve">ג. התוצאה שתתקבל היא נקודת החיתוך בין עקומי הענ״נ של הפרויקט. </t>
  </si>
  <si>
    <t>הפרשי-מחשב</t>
  </si>
  <si>
    <t>פחות נקניק</t>
  </si>
  <si>
    <t>IRR הפרשי</t>
  </si>
  <si>
    <t>כלומר עקומי הענ״נ משתווים במחיר הון של 8.51%. המתמטיקאים מביניכים יכולים לחשב את ה-NPV</t>
  </si>
  <si>
    <t>לכל פרויקט בנפרד במחיר הון זה בדרך הנוחה עליהם ולהיווכח שמגיעים לאותה התוצאה.</t>
  </si>
  <si>
    <t>על התזרימים הללו אפעיל חילוץ של ה-IRR:</t>
  </si>
  <si>
    <t>תזרים שנתי
בשנים 1-7</t>
  </si>
  <si>
    <t>חשוב חשוב חשוב: בשונה מהשאלה הקודמת, שבה הפרויקטים היו פשוטים / קונבנציונליים - כאלו שכוללים תזרים</t>
  </si>
  <si>
    <t>חיובי בזמן אפס, ולאחר מכן סדרה של תזרימים חיוביים, כאן, לצערנו הרב, פרויקט נקניק קר הוא ״לא קונבנציונלי״</t>
  </si>
  <si>
    <t xml:space="preserve">ואיך יודעים זאת? על בסיס העובדה שהוא מתחיל בתזרים שלילי (עד פה בסדר), הופך לחיובי (עד פה גם בסדר) אבל </t>
  </si>
  <si>
    <t>אז שוב חוזר לשלילי.</t>
  </si>
  <si>
    <t>מצב כזה, שבו מזהים פרויקט שתזרימי המזומנים שלו הופכים סימן יותר מפעם אחת, הוא פרויקט שבו לא ניתן</t>
  </si>
  <si>
    <t xml:space="preserve">לחשב את השת״פ באמצעות מחשבון פיננסי, שכן - במצבים כאלו מתמטית ייוצרו בדרך כלל כמה שת״פים. </t>
  </si>
  <si>
    <t>הנחמה היא שבמצבים כאלו גם לא תקבלו בדרך כלל פרויקטים ארוכים כדי שהיישום המתמטי של חילוץ השת״פ</t>
  </si>
  <si>
    <t xml:space="preserve">לא יהיה מטורף. </t>
  </si>
  <si>
    <t>הואיל ובפתרון לשאלה קודמת בכלל לא הצגנו חישוב מתמטי של שת״פ, נשתמש בעובדה שכאן אי אפשר לפתור</t>
  </si>
  <si>
    <t>הכל עם מחשבון פיננסי, ונחשב את השת״פ ידנית / מתמטית גם לפרויקט נקניק חם (למרות היותו קונבציונלי ובהתאם</t>
  </si>
  <si>
    <t>היכולת לחלץ את השת״פ - IRR שלו במחשבון) וגם לפרויקט נקניק קר. כדלקמן:</t>
  </si>
  <si>
    <t>חילוץ שת״פ נקניק קר:</t>
  </si>
  <si>
    <t>חילוץ שת״פ נקניק חם:</t>
  </si>
  <si>
    <t xml:space="preserve">הסבר: בונים את משוואת הערך הנוכחי, מציבים בה את מחיר ההון כנעלם (IRR), ומשווים הכל ל-0. </t>
  </si>
  <si>
    <t>הערה: המתמטיקאים מבינכם יכולים לטעון שיש פה שני פתרונות, אבל לגמרי אפשר לשלול פתרונות שליליים</t>
  </si>
  <si>
    <t>ולכן יש פתרון אחד תקין, שלגמרי אפשר להגיע אליו גם באמצעו שימוש ב-CASH וכלי ה-IRR במחשבון</t>
  </si>
  <si>
    <t>הפיננסי, שיניב תוצאה זהה.</t>
  </si>
  <si>
    <t>לצערי מטעמי קוצר יריעה אינני יכול להציג רענון לאופן פתרון מלא של משוואות אלו, אבל הנחמה היא שבדרך</t>
  </si>
  <si>
    <t>כלל סוגיות הקשורות לאיורים וחילוצים מורכבים אינן במשקל עצום בבחינה, לכן שווה למי שאין לו רקע</t>
  </si>
  <si>
    <t xml:space="preserve">מתמטי וקצת נבהל מזה, לחזור לנושא אחרי השלמה של יתר הנושאים המרכזיים יותר. </t>
  </si>
  <si>
    <t xml:space="preserve">מה שכן חשוב להבין זה את קיומם של שני שת״פים לאור אי הקונבנציונליות של הפרויקט. </t>
  </si>
  <si>
    <t>עבור מחיר הון של 5% פרויקט נקניק חם כדאי, ופרויקט נקניק קר לא כדאי. כדי לראות זאת, קחו את תזרימי המזומנים</t>
  </si>
  <si>
    <t>של הפרויקטים ופשוט חשבו NPV של כל פרויקט וגלו את ה-NPV החיובי של נקניק חם ואת השלילי של נקניק קר.</t>
  </si>
  <si>
    <t>נקניק חם כדאי ממחיר הון 0 עד מחיר הון 10.9%.</t>
  </si>
  <si>
    <t>נקניק קר כדאי ממחיר הון 38.2% עד מחיר הון 261.8%.</t>
  </si>
  <si>
    <t>עם השקעה נוספת</t>
  </si>
  <si>
    <t>ללא השקעה נוספת</t>
  </si>
  <si>
    <t>פרויקט</t>
  </si>
  <si>
    <t>מזמן 2 צפונה</t>
  </si>
  <si>
    <t>זמן 0</t>
  </si>
  <si>
    <t>זמן 1</t>
  </si>
  <si>
    <t>ביטוי השוואה בין משוואת הענ״נ של הפרויקטים:</t>
  </si>
  <si>
    <t>בנוסף, אל תשכחו שהמבחן אמריקאי; אם כבר הגעתם למשוואה, לפעמים אפשר פשוט להציב בה את התוצאות</t>
  </si>
  <si>
    <t>האפשריות במסיחי התשובה ולראות מתי היא מתקיימת.</t>
  </si>
  <si>
    <t xml:space="preserve">מחיר ההון המוביל לאיזון בין החלופות הוא 7.8%. </t>
  </si>
  <si>
    <t>הסבר נוסף: הענ״נ עם ההשקעה הנוספת צריך לבטא את העובדה שכאשר אני משתמש בערך נוכחי של סדרה אינסופית</t>
  </si>
  <si>
    <t>לשם חישוב השווי של 600,000 מזמן 2 צפונה, אני בהגדרה קופץ ״אחת אחורה״ כלומר לזמן 1. ביטוי זה יש לתקנן</t>
  </si>
  <si>
    <t xml:space="preserve">שנה נוספת לאחור ולכן המכנה הנוסף במחובר השני באגף שמאל. </t>
  </si>
  <si>
    <t>פתרונות נבחרים מורחבים למבחן לדוגמא מס׳ 4</t>
  </si>
  <si>
    <t xml:space="preserve">השאלה עוסקת בבחירה בין חלופות בהתבסס על שיעורי ריבית נתונים. </t>
  </si>
  <si>
    <t xml:space="preserve">אין נתונים בדבר תזרימי מזומנים, תשלומים, תקבולים וכיו״ב. </t>
  </si>
  <si>
    <t xml:space="preserve">זה אומר שאין מה לנסות לדרג את החלופות בכלים של ערך נוכחי (PV). </t>
  </si>
  <si>
    <t>וכמובן שאם כך, נרצה לבחון את הריבית האפקטיבית בכל חלופה, ולפיה לדרג.</t>
  </si>
  <si>
    <t>נשים לב - ככלל, בהלוואות, השאיפה של הלווה היא לחלופה שבה הריבית האפקטיבית היא הנמוכה ביותר.</t>
  </si>
  <si>
    <r>
      <t xml:space="preserve">יחד עם זאת, למרות שכאן ציינו הלוואה - הבקשה היתה להכריע בדבר החלופה הטובה ביותר </t>
    </r>
    <r>
      <rPr>
        <b/>
        <sz val="12"/>
        <color theme="1"/>
        <rFont val="David"/>
        <family val="2"/>
        <charset val="177"/>
      </rPr>
      <t>לבנק</t>
    </r>
    <r>
      <rPr>
        <sz val="12"/>
        <color theme="1"/>
        <rFont val="David"/>
        <family val="2"/>
        <charset val="177"/>
      </rPr>
      <t xml:space="preserve"> (למלווה). </t>
    </r>
  </si>
  <si>
    <t>וכמובן שהוא ישאף לריבית האפקטיבית הגבוהה ביותר.</t>
  </si>
  <si>
    <t xml:space="preserve">בקצרה: דירוג מבוסס שיעורי ריבית === ריבית אפקטיבית === גבוהה למלווה / למשקיע (נמוכה ללווה). </t>
  </si>
  <si>
    <t>חלופה 1 - ריבית נתונה המחושבת ״מספר פעמים״ (מחושבת כל....) - ריבית דריבית</t>
  </si>
  <si>
    <t>ריבית 20% [לשנה = ברירת מחדל], המחושבת כל רבעון</t>
  </si>
  <si>
    <t>חלופה 2 - ריבית נתונה המחושבת ״מספר פעמים״ (מחושבת כל....) - ריבית דריבית</t>
  </si>
  <si>
    <t>ריבית של 19% [לשנה = ברירת מחדל], המחושבת כל חודש</t>
  </si>
  <si>
    <t>חלופה 3 - ריבית נתונה, נקודה</t>
  </si>
  <si>
    <t>כאשר נתונה ריבית מסוימת, ללא ציון ״מחושבת כל״ / ״מראש״ - הריבית היא כבר אפקטיבית, ואין צורך לתאם</t>
  </si>
  <si>
    <t>אותה. כברירת מחדל - אפקטיבית שנתית.</t>
  </si>
  <si>
    <t>חלופה 4 - ריבית מראש</t>
  </si>
  <si>
    <t>כאשר נתונה ריבית המחושבת מראש, הדגש המרכזי הוא שהיא למעשה מנכה סכום מקרן ההלוואה (במכנה)</t>
  </si>
  <si>
    <t>ולא מתווספת להחזר בתום התקופה. אם הריבית מראש נטולת ״עיוותים״ (לא ״מחושבת כל״...):</t>
  </si>
  <si>
    <t>הדרישה בשאלה היא למסלול העדיף למלווה (לבנק) כלומר מסלול הריבית האפקטיבית המירבית - חלופה 4.</t>
  </si>
  <si>
    <t>FV(Total)</t>
  </si>
  <si>
    <t>FV = PV(-)</t>
  </si>
  <si>
    <t>חודש</t>
  </si>
  <si>
    <t>pmt = -500</t>
  </si>
  <si>
    <t>pmt = -300</t>
  </si>
  <si>
    <t>n = 24</t>
  </si>
  <si>
    <t>n = 12</t>
  </si>
  <si>
    <t>I% = 1.25</t>
  </si>
  <si>
    <t>בסדרות: תמיד נרצה ריבית לתקופת תשלום,</t>
  </si>
  <si>
    <r>
      <rPr>
        <b/>
        <sz val="12"/>
        <color theme="1"/>
        <rFont val="David"/>
        <family val="2"/>
        <charset val="177"/>
      </rPr>
      <t>ולא</t>
    </r>
    <r>
      <rPr>
        <sz val="12"/>
        <color theme="1"/>
        <rFont val="David"/>
        <family val="2"/>
        <charset val="177"/>
      </rPr>
      <t xml:space="preserve"> את הריבית לתקופת העסקה / הסדרה.</t>
    </r>
  </si>
  <si>
    <t>תהליך העבודה כאשר מזהים צורך לחשב ערך עתידי הנובע ממספר סדרות:</t>
  </si>
  <si>
    <t xml:space="preserve">מתחילים מהסדרה המוקדמת ביותר ומחשבים לה FV. </t>
  </si>
  <si>
    <t xml:space="preserve">מזינים את כל ערכי הסדרה העוקבת, ובנוסף כוללים ב - PV את ה - FV של השלב הקודם בסימן הפוך. </t>
  </si>
  <si>
    <t>סדרה 2</t>
  </si>
  <si>
    <t>סדרה 1</t>
  </si>
  <si>
    <t>יתרת החסכון בתום השנה ה-3 (לתום הסדרה ה-2)</t>
  </si>
  <si>
    <t>היא:</t>
  </si>
  <si>
    <t>ש״ח.</t>
  </si>
  <si>
    <t xml:space="preserve">תשובה א. </t>
  </si>
  <si>
    <t>שלב 2: התאמה</t>
  </si>
  <si>
    <t>PV = ?</t>
  </si>
  <si>
    <t>pmt = 15,000</t>
  </si>
  <si>
    <t>שלב 1</t>
  </si>
  <si>
    <t>n = Ensof</t>
  </si>
  <si>
    <t>ערך נוכחי של סדרה מקפיץ תמיד אוטומטית</t>
  </si>
  <si>
    <t>תדירות: חצי שנתית</t>
  </si>
  <si>
    <t>תקופת תשלום אחת אחורה ביחס לתחילת הסדרה:</t>
  </si>
  <si>
    <t>I% = 3</t>
  </si>
  <si>
    <t>חצי שנה לפני זמן 2: זמן 1.5</t>
  </si>
  <si>
    <t>התאמת הריבית משנתית אפקטיבית (נתון)</t>
  </si>
  <si>
    <t>לחצי שנתית אפקטיבית (הנדרש, לאור תדירות התשלומים)</t>
  </si>
  <si>
    <t>הואיל והריבית הנתונה אפקטיבית (ולא נקובה המחושבת כל...)</t>
  </si>
  <si>
    <t>אין לחלק את הריבית או לכפול אותה, אלא לתאם את תקופתה</t>
  </si>
  <si>
    <t>באמצעות מעריך מתאים.</t>
  </si>
  <si>
    <t>חישוב ערך נוכחי PV של סדרה אינסופית, קל במיוחד לחשב באמצעות נוסחה מתמטית:</t>
  </si>
  <si>
    <t>בהצבה:</t>
  </si>
  <si>
    <t>את החישוב של הערך הנוכחי מזמן 1.5 לזמן 0 נבצע כך:</t>
  </si>
  <si>
    <t>התאמת סדרה</t>
  </si>
  <si>
    <t>שנתי</t>
  </si>
  <si>
    <t>הערך הנוכחי הסופי (הפקדה בזמן 0)</t>
  </si>
  <si>
    <t>הערך שנצבר לזמן 1.5 (עתידי)</t>
  </si>
  <si>
    <t>התשובה א.</t>
  </si>
  <si>
    <t xml:space="preserve">ביצוע שני השלבים במחשבון פיננסי בלבד: </t>
  </si>
  <si>
    <t>חייבים לעבוד ״מהסוף להתחלה״ - קודם על הסדרה ואז על התאמתה לאחור.</t>
  </si>
  <si>
    <t xml:space="preserve">Solve </t>
  </si>
  <si>
    <t>שאלה 4</t>
  </si>
  <si>
    <t>לכאורה השאלה מורכבת, הצמדות, עניינים, ערך ריאלי.</t>
  </si>
  <si>
    <t>אבל התהליך שלמדנו ויישמנו לא מעט גם באג״ח מאד חביב: כאשר אני מגלה עסקה שערכיה צמודים למדד, לרבות</t>
  </si>
  <si>
    <r>
      <t xml:space="preserve">הלוואה, בתור התחלה אחשב את הערך / היתרה הרלוונטית </t>
    </r>
    <r>
      <rPr>
        <b/>
        <sz val="12"/>
        <color theme="1"/>
        <rFont val="David"/>
        <family val="2"/>
        <charset val="177"/>
      </rPr>
      <t>בהתעלם מהמדד</t>
    </r>
    <r>
      <rPr>
        <sz val="12"/>
        <color theme="1"/>
        <rFont val="David"/>
        <family val="2"/>
        <charset val="177"/>
      </rPr>
      <t xml:space="preserve"> (ריאלית), ואז אתייחס להשפעות</t>
    </r>
  </si>
  <si>
    <t>ההצמדה עם ביטוי רלוונטי.</t>
  </si>
  <si>
    <t>מדובר בהלוואה הנפרעת בתשלומים שווים - שפיצר:</t>
  </si>
  <si>
    <t>את יתרת ההלוואה במונחים ריאליים נחשב באמצעות AMRT:</t>
  </si>
  <si>
    <t>.</t>
  </si>
  <si>
    <r>
      <t xml:space="preserve">יתרה </t>
    </r>
    <r>
      <rPr>
        <b/>
        <sz val="12"/>
        <color theme="1"/>
        <rFont val="David"/>
        <family val="2"/>
        <charset val="177"/>
      </rPr>
      <t>ריאלית</t>
    </r>
    <r>
      <rPr>
        <sz val="12"/>
        <color theme="1"/>
        <rFont val="David"/>
        <family val="2"/>
        <charset val="177"/>
      </rPr>
      <t xml:space="preserve"> (לפני מתן ביטוי להצמדה!)</t>
    </r>
  </si>
  <si>
    <t>BAL</t>
  </si>
  <si>
    <t>כדי לחשב את היתרה העדכנית כולל הצמדה, נכפול את התוצאה הריאלית ב-1 ועוד שיעור האינפלציה בחזקה</t>
  </si>
  <si>
    <t>רלוונטית (ואם האינפלציה בפועל / עליית המדד בפועל לא נתונה, נכפול בעליית המדד הצפויה):</t>
  </si>
  <si>
    <t xml:space="preserve">התשובה ב. </t>
  </si>
  <si>
    <t>שאלה 5</t>
  </si>
  <si>
    <t>PV = 18,750</t>
  </si>
  <si>
    <t>pmt = 1,200</t>
  </si>
  <si>
    <t>I% = ?</t>
  </si>
  <si>
    <t>ככלל: ערך נוכחי של סדרה מוביל תמיד אחת אחורה ביחס לתחילתה. כלומר, אם אייצר ביטוי לערך נוכחי של סדרה</t>
  </si>
  <si>
    <t xml:space="preserve">אינסופית שמופע איברה הראשון בזמן 0, אגיע לזמן 1-. </t>
  </si>
  <si>
    <t xml:space="preserve">דרך נעימה מאד להתגבר על התופעה (רק במצבים שבהם התזרים הראשון הוא בזמן 0) היא על ידי פירוק הסדרה - </t>
  </si>
  <si>
    <t xml:space="preserve">לסכום מיידי בזמן 0 שאחריו יתר הסכומים. </t>
  </si>
  <si>
    <t>PMT = 1,200</t>
  </si>
  <si>
    <t>הביטוי להלן מייצג את העובדה שהערך הנוכחי הכולל שווה לסכום המיידי בזמן אפס, בתוספת הערך הנוכחי</t>
  </si>
  <si>
    <t xml:space="preserve">של אינסוף תשלומים מזמן 1 ואילך. </t>
  </si>
  <si>
    <t>ניסיון לבצע תהליך טכני קצר לשאלות בדיוק כאלו (חילוץ ריבית מסדרה אינסופית שערכה הנוכחי נתון,</t>
  </si>
  <si>
    <t>והתזרימים הם בתחילת כל תקופה מזמן 0):</t>
  </si>
  <si>
    <t>שאלה 6</t>
  </si>
  <si>
    <t>מאד דומה לשאלה 3! [אך ללא התאמת ריבית, סדרה רגילה ולא אינסופית]</t>
  </si>
  <si>
    <t>I% = 5</t>
  </si>
  <si>
    <t>שנה שלמה אחורה - לזמן 2</t>
  </si>
  <si>
    <t xml:space="preserve">הסכום המינימלי שנסכים לקבל חלף הסדר תקבולים מוגדר הוא הערך הנוכחי של ההסדר. </t>
  </si>
  <si>
    <t xml:space="preserve">התשובה: 74,259 (ג). </t>
  </si>
  <si>
    <t>שאלה 7</t>
  </si>
  <si>
    <t>2.5 .....</t>
  </si>
  <si>
    <t>pmt = 30</t>
  </si>
  <si>
    <t>n = Endof</t>
  </si>
  <si>
    <t>I% = 2.4695</t>
  </si>
  <si>
    <t>הואיל והתשלומים חצי שנתיים, נדרש להוון (לחשב PV) בריבית אפקטיבית חצי שנתית - זו סדרה.</t>
  </si>
  <si>
    <t xml:space="preserve">הריבית הנתונה היא ריבית אפקטיבית לשנה. </t>
  </si>
  <si>
    <t>וכעת, חישוב הערך הנוכחי של הסדרה האינסופית מתמטית:</t>
  </si>
  <si>
    <r>
      <rPr>
        <b/>
        <sz val="12"/>
        <color theme="1"/>
        <rFont val="David"/>
        <family val="2"/>
        <charset val="177"/>
      </rPr>
      <t>או</t>
    </r>
    <r>
      <rPr>
        <sz val="12"/>
        <color theme="1"/>
        <rFont val="David"/>
        <family val="2"/>
        <charset val="177"/>
      </rPr>
      <t xml:space="preserve"> במחשבון פיננסי:</t>
    </r>
  </si>
  <si>
    <t xml:space="preserve">התשובה (א). </t>
  </si>
  <si>
    <t>שאלה 8</t>
  </si>
  <si>
    <t>אם אתם נתקלים בשאלה שבה נתונה הלוואה הנפרעת בלוח סילוקין רגיל, בלי הצמדות, וכל מה רוצים זה יתרת החוב,</t>
  </si>
  <si>
    <t>אתם קוראים לפרופסור עבודי, ומחבקים אותו חיבוק מכל הלב. כי לא תהיה שאלה קלה יותר מזה בחיים.</t>
  </si>
  <si>
    <t xml:space="preserve">בלוח סילוקין רגיל: יתרת ההלוואה היא למעשה סכום ההלוואה המקורי, בניכוי התשלום הקבוע על חשבון הקרן </t>
  </si>
  <si>
    <t xml:space="preserve">שהוא היחס בין סכום ההלוואה למספר התשלומים - כפול מספר התשלומים שבוצעו. </t>
  </si>
  <si>
    <t>שאלה 9</t>
  </si>
  <si>
    <t xml:space="preserve">תמיד ולעולם כאשר משנים את סוג ההסדר או אופן הסילוק של הלוואה במועד מסוים, נעבוד בשני שלבים. </t>
  </si>
  <si>
    <t xml:space="preserve">בשלב הראשון נחשב את יתרת ההלוואה לפי התנאים המקוריים ערב השינוי. </t>
  </si>
  <si>
    <t>לאחר מכן נפרוס את ההלוואה מחדש ונטפל בה לפי התנאים העדכניים ודרך הסילוק המעודכנת.</t>
  </si>
  <si>
    <t>ואם כך, תחילה: חישוב יתרת הלוח הרגיל לאחר שבוצעו 10 תשלומים מתוך 20:</t>
  </si>
  <si>
    <t xml:space="preserve">כעת נתייחס ליתרה זו כאל הלוואה ״חדשה״ שנרצה לפרוס לפי סילוקין שפיצר - </t>
  </si>
  <si>
    <t>זכרו, שכל טיפול בשפיצר תמיד דורש בתור התחלה חילוץ ה - PMT (התשלום התקופתי הקבוע) באמצעות CMPD:</t>
  </si>
  <si>
    <t>משך ההלוואה הכולל / מספר ההחזרים הנותר ללא שינוי</t>
  </si>
  <si>
    <t>כעת, חישוב יתרת החוב לאחר 6 תשלומי שפיצר (מתוך ה-10) תחולץ באמצעות AMRT:</t>
  </si>
  <si>
    <t>תמיד ניגשים לפונקציית AMRT רק לאחר חילוץ ה - PMT וללא איפוס מחשבון.</t>
  </si>
  <si>
    <t>מספר התשלום השפיצרי שעליו שואלים</t>
  </si>
  <si>
    <t>PM1:</t>
  </si>
  <si>
    <t>PM2:</t>
  </si>
  <si>
    <t>התשובה הנכונה: (א).</t>
  </si>
  <si>
    <t>שאלה 13</t>
  </si>
  <si>
    <t>לא מדובר בסדרה, והערכים</t>
  </si>
  <si>
    <t>שלב 2</t>
  </si>
  <si>
    <t xml:space="preserve">הם כספיים בלבד, </t>
  </si>
  <si>
    <t>לכן הנתון לגבי כל כמה</t>
  </si>
  <si>
    <t>אם נרשום n=8 נקבל ריבית רבעונית</t>
  </si>
  <si>
    <t>זמן הריבית מחושבת</t>
  </si>
  <si>
    <t>מיותר.</t>
  </si>
  <si>
    <t>אפשר לעבוד בערכים שנתיים</t>
  </si>
  <si>
    <t xml:space="preserve">ורק להתאים את ה - n. </t>
  </si>
  <si>
    <t>לחובבי הז׳אנר - גם אין מניעה</t>
  </si>
  <si>
    <t>לעבוד בערכים רבעוניים</t>
  </si>
  <si>
    <t>ולתאם את ה - n</t>
  </si>
  <si>
    <t xml:space="preserve">התשובה: ב. </t>
  </si>
  <si>
    <t>שאלה 14</t>
  </si>
  <si>
    <t xml:space="preserve">יש כאן סיפור מעניין על הפקדה חד פעמית, לשנתיים, בריבית 6% שצמודה למדד. </t>
  </si>
  <si>
    <t>כדי לדעת כמה החוסך יקבל בתום התקופה, נעבוד כרגיל בעולם מדדי: נחשב את תוצאת העסקה (את הערך העתידי)</t>
  </si>
  <si>
    <t>במונחים ריאליים (תוך התעלמות מוחלטת מהצמדה) ואז ניתן ביטוי להצמדה עצמה.</t>
  </si>
  <si>
    <t>הסכום הריאלי הנצבר בתום השנתיים (לפני הצמדה)</t>
  </si>
  <si>
    <t>סכום סופי אחרי הצמדה:</t>
  </si>
  <si>
    <t xml:space="preserve">התשובה: (א). </t>
  </si>
  <si>
    <t>שאלה 15</t>
  </si>
  <si>
    <t>דורשים עיבוד ריבית נתונה המחושבת כל... לריבית אפקטיבית.</t>
  </si>
  <si>
    <t>פתרונות נבחרים מובחרים למבחן לדוגמא מס׳ 1</t>
  </si>
  <si>
    <t xml:space="preserve">מחיר ההון = ריבית להיוון של תזרימי מזומנים בפרויקט. </t>
  </si>
  <si>
    <t>I% = 10.2</t>
  </si>
  <si>
    <t xml:space="preserve">בשפה פשוטה: זה ה - %I שאותו נציב ב - CASH לצורך חישוב ה - NPV של הפרויקט. </t>
  </si>
  <si>
    <t>בנוסף נתון שיעור המס</t>
  </si>
  <si>
    <t>t = 20%</t>
  </si>
  <si>
    <t xml:space="preserve">נתחיל מהצגה בסיסית על ציר הזמן של הכנסות והוצאות. </t>
  </si>
  <si>
    <t xml:space="preserve">כברירת מחדל, ערכים אלו הם בתום כל שנה, אלא אם נאמר מפורשות אחרות. </t>
  </si>
  <si>
    <t xml:space="preserve">במקרים רבים - ערכים שליליים מוצגים בסוגריים. אתם כמובן תפעלו איך שנוח. </t>
  </si>
  <si>
    <t>הכנסות</t>
  </si>
  <si>
    <t>הוצאות תזרימיות (ללא פחת)</t>
  </si>
  <si>
    <t>הוצאות פחת</t>
  </si>
  <si>
    <t>רווח הון</t>
  </si>
  <si>
    <t>רווח לפני מס (חייב במס)</t>
  </si>
  <si>
    <t>מס (חברות) לתשלום</t>
  </si>
  <si>
    <t>עלות ההשקעה</t>
  </si>
  <si>
    <t>תמורה ממכירת ההשקעה</t>
  </si>
  <si>
    <t>הוסף - פחת</t>
  </si>
  <si>
    <t>תזרים מזומנים נטו</t>
  </si>
  <si>
    <t>כעת, נפעל לחישוב מתבקש (NPV או IRR) באמצעות פונקציית CASH:</t>
  </si>
  <si>
    <t>תזכורת - בפרויקטים, ה - %I הוא מחיר ההון</t>
  </si>
  <si>
    <t xml:space="preserve">I% = </t>
  </si>
  <si>
    <t>Csh. D. Editor &gt;&gt;&gt;&gt; EXE &gt;&gt;&gt;&gt;</t>
  </si>
  <si>
    <t>תזרים זמן 0</t>
  </si>
  <si>
    <t>תזרים זמן 1</t>
  </si>
  <si>
    <t>תזרים זמן 2</t>
  </si>
  <si>
    <t>תזרים זמן 3</t>
  </si>
  <si>
    <t>תזרים זמן 4</t>
  </si>
  <si>
    <t>&lt;&lt;&lt;ESC&lt;&lt;&lt;</t>
  </si>
  <si>
    <t xml:space="preserve">Solve NPV = </t>
  </si>
  <si>
    <t xml:space="preserve">Solve IRR = </t>
  </si>
  <si>
    <t xml:space="preserve">אם בשאלה מסוימת מבקשים לחשב גם NPV וגם IRR, אנא התחילו עם NPV ורק לאחר מכן IRR. </t>
  </si>
  <si>
    <t>דיון בהיגדים:</t>
  </si>
  <si>
    <t xml:space="preserve">א. ההיגד שגוי - ניתן לחשב את ה - IRR. </t>
  </si>
  <si>
    <t xml:space="preserve">ב. ההיגד שגוי - אדישות מתקיימת כאשר NPV=0 ובמונחי IRR: כאשר ה - IRR זהה למחיר ההון. </t>
  </si>
  <si>
    <t xml:space="preserve">ג. ההיגד שגוי, ה - NPV שלילי. </t>
  </si>
  <si>
    <t>ד. ההיגד נכון, ה-NPV שלילי.</t>
  </si>
  <si>
    <t>להלן הסברים מפורטים לגבי כל שורה ושורה בטבלת חישוב התזרים נטו:</t>
  </si>
  <si>
    <t>הוצאות תזרימיות (ללא פחת):</t>
  </si>
  <si>
    <t xml:space="preserve">הוצאות ״שוטפות״ כגון חשמל, ניקיון, אבטחה - הן תזרים מזומנים שלילי אמיתי, שמהווה הוצאה. </t>
  </si>
  <si>
    <t>הוצאות פחת:</t>
  </si>
  <si>
    <t xml:space="preserve">הוצאות פחת הן הוצאות רעיוניות שמשקפות שחיקה / בלאי / אובדן ערך של פריטי רכוש קבוע (השקעות). </t>
  </si>
  <si>
    <t>אם קנינו לטובת פרויקט מכונות, ציוד, כלי רכב, מבנים וכו׳ - הטענה היא שבמהלך השימוש הצפוי בהם,</t>
  </si>
  <si>
    <t>לאורך חיי הפרויקט, ערכם נשחק ויורד. המשמעות: נוצרה כאן הוצאה (אובדן ערך) אך היא איננה מלווה</t>
  </si>
  <si>
    <t xml:space="preserve">ביציאה תזרימית. </t>
  </si>
  <si>
    <t>אנו כוללים אותה בשלב ראשון של החישוב, משום שלמרות שאיננה מייצגת יציאה כספית - היא עדיין</t>
  </si>
  <si>
    <t xml:space="preserve">משפיעה על הרווח לצורך מס ועל תשלום המס. </t>
  </si>
  <si>
    <t>איך מחשבים את הוצאות הפחת - ברמה הטכנית? מתבססים על ההפרש בין העלות (סכום ההשקעה)</t>
  </si>
  <si>
    <t>בניכוי ערך שייר (גרט) - השווי הצפוי לפריט בתום חייו (שווי ״הברזל״ / הערך שאין עליו פחת, במבנים</t>
  </si>
  <si>
    <t xml:space="preserve">מדובר בחלק של הקרקע), כל ההפרש (עלות בניכוי גרט) מחולק בתקופת ההפחתה של הפרויקט. </t>
  </si>
  <si>
    <t>כאן: ההשקעה 700,000, הגרט 100,000, ההפחתה לפי 4 שנים, לכן הוצאות הפחת השנתיות:</t>
  </si>
  <si>
    <t xml:space="preserve">(700,000 - 100,000)/4 = </t>
  </si>
  <si>
    <t>השפעה 1</t>
  </si>
  <si>
    <t>השפעה 2</t>
  </si>
  <si>
    <t>של הוצאות</t>
  </si>
  <si>
    <t xml:space="preserve">פחת </t>
  </si>
  <si>
    <t>פחת</t>
  </si>
  <si>
    <t>בחלק העליון</t>
  </si>
  <si>
    <t>בחלק התחתון</t>
  </si>
  <si>
    <t>הוצאה</t>
  </si>
  <si>
    <t>של הטבלה</t>
  </si>
  <si>
    <t>בסימן שלילי</t>
  </si>
  <si>
    <t>בסימן חיובי</t>
  </si>
  <si>
    <t>רווח הון / הפסד הון:</t>
  </si>
  <si>
    <t>רווח / הפסד הון הוא ההפרש שבין תמורת המכירה הצפויה לפריט רכוש קבוע (השקעה) בתום הפרויקט,</t>
  </si>
  <si>
    <t xml:space="preserve">לבין ״שוויו התיאורטי״ (עלות מופחתת) לאותו מועד. </t>
  </si>
  <si>
    <t>רכיב התמורה שזהה</t>
  </si>
  <si>
    <t>לעלות המופחתת לא חייב במס</t>
  </si>
  <si>
    <t>תמורה ממכירת ציוד ההשקעה בתום הפרויקט - נתון:</t>
  </si>
  <si>
    <t>בניכוי עלות מופחתת:</t>
  </si>
  <si>
    <t>על רווח ההון</t>
  </si>
  <si>
    <t>רווח הון (הפרש חיובי) = הכנסה נוספת בתום שנה 4</t>
  </si>
  <si>
    <t>בסך 50,000</t>
  </si>
  <si>
    <t>משולם מס</t>
  </si>
  <si>
    <t>מופיע בחלק העליון</t>
  </si>
  <si>
    <t>עלות היסטורית (השקעה)</t>
  </si>
  <si>
    <t>בניכוי פחת נצבר עד המכירה</t>
  </si>
  <si>
    <t xml:space="preserve">150,000 * 4 = </t>
  </si>
  <si>
    <t>עלות מופחתת</t>
  </si>
  <si>
    <t>מס חברות לתשלום:</t>
  </si>
  <si>
    <t xml:space="preserve">מכפלה פשוטה של שיעור המס 20% ברווח לפני מס - וכל זה בסימן שלילי (כדי לייצג את העובדה שמדובר בתשלום). </t>
  </si>
  <si>
    <t>תמורה ממכירת השקעה:</t>
  </si>
  <si>
    <t>אנו יודעים שסך התמורה ממכירת ההשקעה היא:</t>
  </si>
  <si>
    <t>אנחנו גם יודעים שהחלק מתוכה שמהווה רווח וחייב במס</t>
  </si>
  <si>
    <t>זה אומר שכל יתר תמורת המכירה שלא חייבת במס</t>
  </si>
  <si>
    <t xml:space="preserve">150,000 - 50,000 = </t>
  </si>
  <si>
    <t xml:space="preserve">רכיבים שאינם חייבים במס - יופיעו בחלק התחתון של הטבלה ב״התאמות״. </t>
  </si>
  <si>
    <t>רכיב תמורה ממכירת השקעה בחלק התחתון בטבלה = בגובה העלות המופחתת ערב המכירה.</t>
  </si>
  <si>
    <t>התזרים נטו בכל שנה נתון לגמרי.</t>
  </si>
  <si>
    <t>השקעה ראשונית בזמן אפס של 500 אלפי ש״ח, ותקבול נטו בסך 75 בתום כל שנה.</t>
  </si>
  <si>
    <t>בנוסף ציינו שהענ״נ (NPV) הוא 20 אלפי ש״ח.</t>
  </si>
  <si>
    <t xml:space="preserve">הנעלם - מחיר ההון. </t>
  </si>
  <si>
    <t>כאשר עוסקים בסדרות אינסופיות, גם אם בחלק מהמקרים אפשר להשתמש בקיצור דרך של מחשבון פיננסי, צריך להכיר</t>
  </si>
  <si>
    <t>את הנוסחה המתמטית שאומרת:</t>
  </si>
  <si>
    <t xml:space="preserve">ערך נוכחי PV של סדרה אינסופית קבועה מחושב לפי היחס בין התשלום התקופתי הקבוע לשיעור הריבית / שיעור ההיוון. </t>
  </si>
  <si>
    <t xml:space="preserve">בנוסף, ברמה הכלכלית: ה - NPV מוגדר בתור הערך הנוכחי הנקי של כלל תזרימי המזומנים (ענ״נ). כלומר, אם ניקח </t>
  </si>
  <si>
    <t>את כלל התזרימים במונחי זמן אפס - או במילים אחרות: אם ניקח את ההשקעה המיידית (בזמן אפס) ונוסיף לה</t>
  </si>
  <si>
    <t>את הביטוי המייצג את הערך הנוכחי של יתר התזרימים - זה הענ״נ (NPV):</t>
  </si>
  <si>
    <t>בהינתן</t>
  </si>
  <si>
    <t>עלות ההשקעה המיידית</t>
  </si>
  <si>
    <t>שהתקבולים</t>
  </si>
  <si>
    <t>אינסופיים</t>
  </si>
  <si>
    <t>מסקנת ביניים:</t>
  </si>
  <si>
    <t>משוואה לחישוב ענ״נ (NPV) הדורשת השקעה מיידית שלאחריה סדרה אינסופית קבועה:</t>
  </si>
  <si>
    <t>כאשר:</t>
  </si>
  <si>
    <t>I0</t>
  </si>
  <si>
    <t>סכום ההשקעה המיידית</t>
  </si>
  <si>
    <t>התקבול התקופתי הקבוע, לנצח</t>
  </si>
  <si>
    <t>r</t>
  </si>
  <si>
    <t>מחיר ההון של החברה</t>
  </si>
  <si>
    <t xml:space="preserve">גם בשאלה זו, בדומה לשאלה 7, ישנו דיון בפרויקט שכולל השקעה ראשונית מיידית - שאחריה רצף תזרימי אינסופי קבוע. </t>
  </si>
  <si>
    <t>בהתאם, משוואת הענ״נ תהיה זהה גם היא:</t>
  </si>
  <si>
    <t xml:space="preserve">בשאלה זו, נדרש דווקא ה - IRR, ואין מידע בדבר ערך ה - NPV. </t>
  </si>
  <si>
    <t xml:space="preserve">לא נורא! משום שלפי ההגדרה המתמטית ה - IRR הוא אותו ערך של מחיר הון (r) שמוביל ל - NPV=0. </t>
  </si>
  <si>
    <t xml:space="preserve">זכרו: כאשר מחלצים ריבית מסדרה (סופית / אינסופית; מתמטית או באמצעות נוסחה), הריבית הוא תמיד לתקופה </t>
  </si>
  <si>
    <t>הזהה לפרק הזמן בין תשלומים בסדרה.</t>
  </si>
  <si>
    <t>בשאלה 7 - התזרימים היו שנתיים, הריבית שחולצה היתה שנתית כנדרש, וסיימנו.</t>
  </si>
  <si>
    <t>בשאלה הזו - התזרימים הם כל 7 חודשים, ולכן הריבית המחולצת היא ל-7 חודשים ולא לשנה.</t>
  </si>
  <si>
    <t>לכן, הואיל והשאלה דרשה שת״פ שנתי, עלינו לבצע המרה של הריבית המחולצת מ-7 חודשים ל-12 חודשים (לשנה).</t>
  </si>
  <si>
    <t>ומדוע המעריך 12/7? משום שהמעריך בהתאמת הריבית הוא היחס בין ״הרצוי״ (הנדרש - שנה, 12 חודשים)</t>
  </si>
  <si>
    <t>לבין המצוי (הקיים, המחושב בשלב קודם - 7 חודשים):</t>
  </si>
  <si>
    <t>מספר אנקדוטות קטנות לגבי ריבית</t>
  </si>
  <si>
    <t>שאלות הדורשות באופן ספציפי חישוב ריבית - ממש שאלות שהתשובה להן היא ריבית באחוזים:</t>
  </si>
  <si>
    <t xml:space="preserve">בשאלות אלו, ניתקל בניסוחים כגון - </t>
  </si>
  <si>
    <t>נטלת הלוואה לשנה, בריבית שנתית בשיעור 10%, המחושבת כל רבעון</t>
  </si>
  <si>
    <t>נטלת הלוואה לשנה, בריבית מראש בשיעור 8%</t>
  </si>
  <si>
    <t>נטלת הלוואה לשנה, בריבית חודשית 1%</t>
  </si>
  <si>
    <t>נדרש: מהי הריבית האפקטיבית (לרבות בחלופה העדיפה).</t>
  </si>
  <si>
    <t>מקרה א - ריבית ״המחושבת כל״ (ואיננה ריבית מראש):</t>
  </si>
  <si>
    <t>נוסחת ההמרה דורשת ״שני צעדים״:</t>
  </si>
  <si>
    <t xml:space="preserve">צעד 1 - לחלק את הריבית לתקופת חישוב אחת. </t>
  </si>
  <si>
    <t>צעד 2 - לתאם את התקופה כנדרש עם חזקה.</t>
  </si>
  <si>
    <t>חשוב ומאד נפוץ - בשאלות ייעודיות לחישובי ריבית</t>
  </si>
  <si>
    <t>R</t>
  </si>
  <si>
    <t>הריבית הנתונה</t>
  </si>
  <si>
    <t>מספר תקופות חישוב הריבית - בתקופה הנתונה</t>
  </si>
  <si>
    <t>m</t>
  </si>
  <si>
    <t>מספר תקופות חישוב הריבית - בתקופה הנדרשת</t>
  </si>
  <si>
    <t>מקרה ב - ריבית ״מראש״:</t>
  </si>
  <si>
    <t>d</t>
  </si>
  <si>
    <t>הריבית שמתפקדת כריבית מראש</t>
  </si>
  <si>
    <t xml:space="preserve">מספר תקופות חישוב הריבית מראש </t>
  </si>
  <si>
    <t>מספר תקופות חישוב הריבית בתקופה הנדרשת</t>
  </si>
  <si>
    <t>שילוב של ריבית ״המחושבת כל״ יחד עם ריבית מראש:</t>
  </si>
  <si>
    <t>מקרה ג - ריבית שאין נתון ספציפי לגבי סוגה, אלא רק יש לתאם את תקופתה:</t>
  </si>
  <si>
    <t>הריבית הנתונה - לרבות: תשואה לפדיון באג״ח, IRR, מחיר ההון</t>
  </si>
  <si>
    <t>היחס בין התקופה הרצויה למצויה</t>
  </si>
  <si>
    <t xml:space="preserve">סוגיה - נניח שנתונה ריבית של 8% בשנה ראשונה, 10% בשנה שניה, ו-12% בשנה שלישית, ולא נתון סוג הריבית. </t>
  </si>
  <si>
    <t>כיצד נחשב ריבית לתקופה של 3 שנים?</t>
  </si>
  <si>
    <t>סוגיה - לגבי ריבית נקובה באג״ח - החישוב שלה הוא יחסי פשוט תמיד. למשל, אם אג״ח משלמת ריבית שנתית נקובה</t>
  </si>
  <si>
    <t>בשיעור 10% פעמיים בשנה (כל חצי שנה) הריבית לפיה נחשב את הקופון (התזרים התקופתי):</t>
  </si>
  <si>
    <t>10%/2 = 5%</t>
  </si>
  <si>
    <t>סוגיה - נניח ומספרים לי על הלוואה בסך 100,000 ש״ח הנפרעת בתשלומים חודשיים, כאשר הריבית הנקובה היא 12%</t>
  </si>
  <si>
    <t>לשנה. על איזו ריבית אתבסס לצורך חישוב התשלום החודשי?</t>
  </si>
  <si>
    <t>12% / 12 = 1%</t>
  </si>
  <si>
    <t>במלים אחרות:</t>
  </si>
  <si>
    <t xml:space="preserve">תמיד נרצה לדעת - מה ה״אינפוט״ = האם מדובר בריבית ה״מחושבת כל״ או ריבית ללא תיאור נוסף. </t>
  </si>
  <si>
    <t xml:space="preserve">וכן לאיזו תקופת ריבית אני רוצה להגיע (יעזור - למעריך החזקה). </t>
  </si>
  <si>
    <t xml:space="preserve">בשאלה זו עשו בשבילנו עבודה: </t>
  </si>
  <si>
    <t xml:space="preserve">הלוואה ל-3 שנים, ריבית שנתית לא צמודה 7%. </t>
  </si>
  <si>
    <t xml:space="preserve">בתור התחלה נשאל את עצמנו - מהי הריבית הכוללת לכל 3 השנים? </t>
  </si>
  <si>
    <t>רגע... באיזה סוג ריבית מדובר? האם בריבית המחושבת ״כל״?</t>
  </si>
  <si>
    <t>האם בריבית מראש?</t>
  </si>
  <si>
    <t>לא ולא. זו ריבית שאין לה הקשר ספציפי ואין לה תיאור הנלווה באשר לאופן חישובה.</t>
  </si>
  <si>
    <t>המקרה הזה הוא המקרה הנפוץ ביותר, והוא מכתיב לצורך חישוב ריבית כוללת את הנוסחה הנעזרת</t>
  </si>
  <si>
    <t>בחזקה בלבד:</t>
  </si>
  <si>
    <t xml:space="preserve">בעסקה הנתונה, ההלוואה לא צמודה, לכן אין צורך להוסיף ערך כלשהו לריבית זו; היא הריבית הסופית (נומינלית). </t>
  </si>
  <si>
    <t>במקביל, ישנם נתוני אינפלציה. הואיל והיא שונה בכל שנה, נוח לנסות ולחשב את האינפלציה הכוללת:</t>
  </si>
  <si>
    <t>בשאלות ריבית הקשורות לאינפלציה, בדרך כלל נצטרך לחלץ אחד מבין הגורמים:</t>
  </si>
  <si>
    <t>בהתאם למשוואת פישר.</t>
  </si>
  <si>
    <t>כאן, מה שצריך לחלץ - ריבית ריאלית - שתוצאתה ל-3 שנים כי מחושבת על בסיס יחס בין ערכים תלת - שנתיים:</t>
  </si>
  <si>
    <t>משוואת פישר:</t>
  </si>
  <si>
    <t>תהליך:</t>
  </si>
  <si>
    <t>אם נתונה ריבית נומינלית ואינפלציה, ונדרשת ריבית ריאלית תקופתית:</t>
  </si>
  <si>
    <t>א. נחשב ריבית נומינלית לכל התקופה.</t>
  </si>
  <si>
    <t>ב. נחשב אינפלציה לכל התקופה.</t>
  </si>
  <si>
    <t>ג. נשתמש במשוואת פישר לחילוץ הריבית הריאלית.</t>
  </si>
  <si>
    <t xml:space="preserve">ד. לא נשכח לתאם את התוצאה ליחידת הזמן הנדרשת (בדרך כלל - שנה אחת). </t>
  </si>
  <si>
    <t>פתרונות נבחרים מובחרים למבחן לדוגמא מס׳ 3</t>
  </si>
  <si>
    <t xml:space="preserve">שאלה 11 </t>
  </si>
  <si>
    <t>בנתוני השאלה,  ידועים תזרימי המזומנים הנקיים של פרויקט, כדלקמן:</t>
  </si>
  <si>
    <t>בנוסף ידוע שמחיר ההון הריאלי של המשקיע 4% לשנה, והאינפלציה הצפויה 6% לשנה.</t>
  </si>
  <si>
    <t>הואיל והתזרים כאן מעורב, בחלקו כפוף להצמדה ובחלקו לא, אנחנו נחלק את התזרים לחלקים (לרכיבים)</t>
  </si>
  <si>
    <t>כאשר כל רכיב יהוון (יחושב לו NPV) בריבית מתאימה, ולבסוף נחבר את הערכים.</t>
  </si>
  <si>
    <t>ערך נוכחי:</t>
  </si>
  <si>
    <t>חישוב NPV:</t>
  </si>
  <si>
    <t>סה״כ NPV לתזרימים העתידיים, בניכוי סכום ההשקעה הכולל בזמן 0:</t>
  </si>
  <si>
    <t xml:space="preserve">Total NPV = 96,620 + 36,664 - 90,000 = </t>
  </si>
  <si>
    <t xml:space="preserve">על פי הנתון, מדובר בשאלת תזרימי מזומנים. </t>
  </si>
  <si>
    <t>נדרשת השקעה בסך 700,000 ש״ח.</t>
  </si>
  <si>
    <t>התפוקה ביח׳ היא 2,500 יח׳, כשמחיר המוצר 320 דולר נכון להיום, קרי סך הכנסה ראשונית שנתית:</t>
  </si>
  <si>
    <t xml:space="preserve">2,500 * 320 = </t>
  </si>
  <si>
    <t xml:space="preserve">שיעור המס 40%. </t>
  </si>
  <si>
    <t>האינפלציה צפויה 5% לשנה.</t>
  </si>
  <si>
    <t>שיעור התשואה הריאלי הנדרש 10%, ונדרש לחשב ענ״נ.</t>
  </si>
  <si>
    <t>מסים על ההכנסה לפי 40%</t>
  </si>
  <si>
    <t>היוון התזרים הנומינלי בשיעור תשואה נומינלי שהנו:</t>
  </si>
  <si>
    <t xml:space="preserve">גם ההכנסה תגדל לפי שיעור האינפלציה, ולכן מהווה תזרים ריאלי. </t>
  </si>
  <si>
    <t xml:space="preserve">הפריט מופחת בקו ישר על פני שנתיים - כך שלמעשה, הוצאות הפחת אינן במונחים ריאליים. </t>
  </si>
  <si>
    <t>בדמיון מסויים לשאלה 13, גם כאן צריך לפצל, כי חלק מהתזרימים אינם כפופים להצמדה (נומינליים, בעיקר</t>
  </si>
  <si>
    <t>מגן המס על הפחת) וחלק מהתזרימים כפופים להצמדה (כל מה שמושפע מהמדד באופן מלא - הוצאות שכר עבודה</t>
  </si>
  <si>
    <t xml:space="preserve">וכן שווי התפוקה ששומר על ערך ריאלי). </t>
  </si>
  <si>
    <t xml:space="preserve">זהו סך הענ״נ של התזרימים הריאליים וההשקעה. </t>
  </si>
  <si>
    <t>ריאלי</t>
  </si>
  <si>
    <t>התאמה - פחת</t>
  </si>
  <si>
    <t>הוחשב בריאלי</t>
  </si>
  <si>
    <t>היוון התזרים הריאלי בשיעור תשואה ריאלי שהנו:</t>
  </si>
  <si>
    <t>סה״כ NPV כולל:</t>
  </si>
  <si>
    <t xml:space="preserve">Total NPV = 129,359 + 226,158 = </t>
  </si>
  <si>
    <t>שאלה 10</t>
  </si>
  <si>
    <t>בשאלה נתונים לגבי דני שמפקיד 10,000 ש״ח פעם אחת לתקופה של 20 שנים.</t>
  </si>
  <si>
    <t xml:space="preserve">מדובר בטיפוס שאלה של ״איזון אקטוארי״ (הפקדה / הפקדות שאחריה סדרת משיכות). </t>
  </si>
  <si>
    <t>אפשר לפתור במספר דרכים, אבל הדרך שאני אוהב היא:</t>
  </si>
  <si>
    <t>Deposits</t>
  </si>
  <si>
    <t>Withdrawls</t>
  </si>
  <si>
    <t>26-27</t>
  </si>
  <si>
    <t>1-20</t>
  </si>
  <si>
    <t>21-25</t>
  </si>
  <si>
    <t>כלומר, סך ההפקדות לזמן 20:</t>
  </si>
  <si>
    <t>בניכוי משיכות לאותה נקודה:</t>
  </si>
  <si>
    <t>אך דרשו את היתרה לזמן 28, ולכן יש לדחוף את התוצאה הנ״ל 8 שנים קדימה. נקבל:</t>
  </si>
  <si>
    <t>פתרונות נבחרים מובחרים למבחן לדוגמא מס׳ 2</t>
  </si>
  <si>
    <t>על פי לשון השאלה, מדובר בפרויקט אשר:</t>
  </si>
  <si>
    <t>ההשקעה בו:</t>
  </si>
  <si>
    <t>אורך חיי בשנים:</t>
  </si>
  <si>
    <t>רווח תפעולי:</t>
  </si>
  <si>
    <t>לפני התייחסות לפחת ומסים</t>
  </si>
  <si>
    <t>שיעור המס:</t>
  </si>
  <si>
    <t>תקופת הפחתה:</t>
  </si>
  <si>
    <t>ריבית:</t>
  </si>
  <si>
    <t>מסים על ההכנסה לפי 25%</t>
  </si>
  <si>
    <t>ענ״נ / NPV</t>
  </si>
  <si>
    <t xml:space="preserve">הערה: עלות הסוקר היא עלות שקועה. החברה כבר *השקיעה* את הסכום הזה. לא תשקיע אותו. </t>
  </si>
  <si>
    <t>מדובר בעלות שלא ניתן לוותר עליה או לבטל כרגע גם אם נחליט לא לבצע את הפרויקט.</t>
  </si>
  <si>
    <t xml:space="preserve">זכרו, המטרה שלנו היא קבלת החלטות - ולא שיוך תקציבים חשבונאי. </t>
  </si>
  <si>
    <t xml:space="preserve">וכל עלות או הכנסה שאיננה נוצרת ספציפית בעקבות ההחלטה בנקודת הזמן הנוכחית לא תהווה משקל בהחלטותינו. </t>
  </si>
  <si>
    <t>שאלה 12</t>
  </si>
  <si>
    <t>השאלה דנה בהמצאה שתאפשר לחברה ליצור עלייה בהכנסות (שזה כמו לומר - לייצר הכנסות חדשות) בסך 7,000</t>
  </si>
  <si>
    <t>ש״ח בכל שנה, 4 שנים.</t>
  </si>
  <si>
    <t xml:space="preserve">בשנה 5, ההכנסה תגדל ב-5,000 ש״ח, בתדירות של אחת לשנתיים החל מאותה נקודה לאינסוף. </t>
  </si>
  <si>
    <t>מדובר בהגדרה בערך נוכחי של תזרימים משני סוגים:</t>
  </si>
  <si>
    <t>א. ערך נוכחי של 4 תזרימים שנתיים, בסך 7,000 ש״ח, שנים 1-4.</t>
  </si>
  <si>
    <t>ב. ערך נוכחי של סדרה אינסופית, בסך 5,000, בתדירות של אחת לשנתיים, שנים 5 ואילך.</t>
  </si>
  <si>
    <t>למעשה מדובר בשאלת ״ערך נוכחי מורכב״ שעובדת ״מהסוף להתחלה״. במצב כזה נפעל כדלקמן:</t>
  </si>
  <si>
    <t>שלב 1: נחשב ערך נוכחי PV לסדרה המאוחרת. ערך נוכחי לסדרה אינסופית אפשר לחשב עם נוסחה מתמטית</t>
  </si>
  <si>
    <t>5 til Forever</t>
  </si>
  <si>
    <t>1 to 4</t>
  </si>
  <si>
    <t>או על ידי הזנת 999 ב-n. ערך זה מוביל אותנו ״אחת אחורה״ ביחס למועד התזרים הראשון,  והואיל והתזרים</t>
  </si>
  <si>
    <t xml:space="preserve">הראשון בזמן 5 והתזרימים כל שנתיים התוצאה דוחפת לזמן 3. </t>
  </si>
  <si>
    <t xml:space="preserve">שלב 2: נתאם את התוצאה מזמן 3 לזמן 0. בשלב זה, נגיע לערך הנוכחי של הסדרה האינסופית לזמן 0. </t>
  </si>
  <si>
    <t xml:space="preserve">שלב 3: נחשב את ה-PV של הסדרה המוקדמת יותר. </t>
  </si>
  <si>
    <t xml:space="preserve">שלב 4: נחבר את ערכי שלבים 2 ו-3. </t>
  </si>
  <si>
    <t>for t = 0</t>
  </si>
  <si>
    <t>סך הכל ערך נוכחי:</t>
  </si>
  <si>
    <t>סדרה סופית</t>
  </si>
  <si>
    <t>נשאלת השאלה, למה זה כל כך שונה מתרגילי הבית?</t>
  </si>
  <si>
    <t>והתשובה: כשיש סדרה רציפה, כל שנה, בלי שינויי תדירות, הכל בסדר. הקפיצה אחורה שנובעת מחישוב ערך</t>
  </si>
  <si>
    <t>נוכחי מובילה בדיוק לחישוב הקודם.</t>
  </si>
  <si>
    <t>אבל כשישנה סדרה שנתית, ופתאום יש שינוי לתדירות דו שנתית, הקפיצה אחורנית לא מובילה לנקודת הזמן של תחילת</t>
  </si>
  <si>
    <t xml:space="preserve">הסדרה הקודמת, מה שדורש עבודה ידנית בהתאמה מתוך מודעות לכך (או מתמטית). </t>
  </si>
  <si>
    <t xml:space="preserve">מדובר באג״ח שזמן פרעונה בעוד 5 שנים. </t>
  </si>
  <si>
    <t xml:space="preserve">ערך נקוב: </t>
  </si>
  <si>
    <t>ריבית נקובה</t>
  </si>
  <si>
    <t>תדירות תשלום: כל רבעון (מה שאומר שמשלמים ריבית של 2.5% לרבעון שכן חישובי ריבית נקובה הם יחסיים).</t>
  </si>
  <si>
    <t>שיעור תשואה לפדיון (ריבית שבה מהוונים, במונחי ריבית אפקטיבית, המרתה מתקופה לתקופה עם חזקה): 10.381%.</t>
  </si>
  <si>
    <t xml:space="preserve">נדרש שווי האג״ח. </t>
  </si>
  <si>
    <t>נגדיר:</t>
  </si>
  <si>
    <t>בחישובי אג״ח - מדובר בריבית קופון יחסית מוכפלת בערך נקוב</t>
  </si>
  <si>
    <t>מספר תזרימי הקופון, כמספר הרבעונים ב-5 שנים במקרה זה</t>
  </si>
  <si>
    <t>שיעור תשואה לפדיון מתורגם למונחים רבעוניים בחזקה מתאימה</t>
  </si>
  <si>
    <t>שווי האג״ח - הערך המחולץ</t>
  </si>
  <si>
    <t>למעשה, לא היינו זקוקים לדרך חישוב זו; שהרי באג״ח הצפויה לשלם בתום כל תקופה, ובה הריבית הנקובה</t>
  </si>
  <si>
    <t xml:space="preserve">לתקופת תשלום זהה לשיעור התשואה לפדיון לתקופת תשלום, מתקיים גם שוויון בין ערך נקוב לשווי / מחיר. </t>
  </si>
  <si>
    <t>A</t>
  </si>
  <si>
    <t>B</t>
  </si>
  <si>
    <t>C</t>
  </si>
  <si>
    <t>מדובר במצב שבו צריך להכריע (לבחור רק אחד לכל היותר) בין הפרויקטים הבאים:</t>
  </si>
  <si>
    <t xml:space="preserve">זה קצת ארוך, אבל יאפשר לענות לכל השאלות. </t>
  </si>
  <si>
    <t>לשם כך:</t>
  </si>
  <si>
    <t>NPV(I%=5)</t>
  </si>
  <si>
    <t>NPV(I%=10)</t>
  </si>
  <si>
    <t>NPV(I%=25)</t>
  </si>
  <si>
    <t>מסקנה: אם הם מוציאים זה את זה, במחיר הון 5% עדיף C, במחיר הון 10% עדיף C ובמחיר הון 25% עדיף את A.</t>
  </si>
  <si>
    <t xml:space="preserve">אם הם לא מוציאים זה את זה, כדאי לבצע את כל הפרויקטים בעלי ענ״נ חיובי כלומר במחיר הון של 5% או 10% כולם יבוצעו </t>
  </si>
  <si>
    <t xml:space="preserve">ואילו במחיר הון של 25% יבוצעו A ו-C. </t>
  </si>
  <si>
    <t xml:space="preserve">השאלה דורשת חישוב ערך נוכחי של פרויקט שמניב 30,000 בתום כל שנה 5 שנים, ולאחר מכן 10,000 בתום כל </t>
  </si>
  <si>
    <t>שנה לאינסוף (כלומר מזמן 6 ואילך). מחיר ההון 10%. עלות הציוד 150,000 ש״ח.</t>
  </si>
  <si>
    <t>לשם כך קל מאד לחשב ערך נוכחי של ההכנסות:</t>
  </si>
  <si>
    <t>נחשב ערך נוכחי לסדרה האינסופית תחילה, זאת משום שבערך נוכחי מורכב מתחילים מהסדרה המאוחרת</t>
  </si>
  <si>
    <t>ואז עוברים למוקדמת. חשוב לשים לב שכשהסדרה אינסופית אפשר פשוט להזין n=999.</t>
  </si>
  <si>
    <t xml:space="preserve">התוצאה המתקבלת היא לזמן 5 (אחת לפני התזרים הראשון שהוא בזמן 6). נצרף PV זה כ-FV לחישוב ה-PV </t>
  </si>
  <si>
    <t xml:space="preserve">של הסדרה מזמן 1 לזמן 5. </t>
  </si>
  <si>
    <t>6 to forever</t>
  </si>
  <si>
    <t>1 to 5</t>
  </si>
  <si>
    <t>סך הכל שווי (אמנם בחישוב הפיננסי התוצאה במינוס אבל זהו שווי חיובי של הכנסות כמובן):</t>
  </si>
  <si>
    <t>בניכוי עלות השקעה:</t>
  </si>
  <si>
    <t>שווי נטו - ענ״נ</t>
  </si>
  <si>
    <t>הפרויקט כדאי</t>
  </si>
  <si>
    <t>השאלה דנה בהלוואה של 5,000 ש״ח למשך 10 שנים בריבית 6% לשנה שנפרעת בתשלומים שווים,</t>
  </si>
  <si>
    <t>כלומר בשיטת לוח סילוקין שפיצר, חוץ מאשר התשלום בשנה הראשונה שהוא 1,000 ש״ח.</t>
  </si>
  <si>
    <t>שואלים מהו גובה התשלום השנתי החל מהשנה השניה.</t>
  </si>
  <si>
    <t>של ה-1,000, ננכה אותו מסכום ההלוואה, ועל היתרה נפעיל חילוץ של סוכם התשלום התקופתי לפי משפט זה -</t>
  </si>
  <si>
    <t>להלן:</t>
  </si>
  <si>
    <t>בריבית נקבל (אפשר גם במחשבון פיננסי):</t>
  </si>
  <si>
    <t>מזה, נוריד 1,000, סך התשלום באותו מועד, נקבל:</t>
  </si>
  <si>
    <t>את זה נפרוס כעת ל-9 תשלומים שווים בהתייחס לריבית שנתית של 6%:</t>
  </si>
  <si>
    <t>יש כמה דרכים לפתור.</t>
  </si>
  <si>
    <t>אני אלך על הגישה הבאה. נחשב את הסכום הנצבר בגין ההלוואה לזמן 1. ואז נתייחס להחזר החד פעמי</t>
  </si>
  <si>
    <t>אשרי המאמין.</t>
  </si>
  <si>
    <t xml:space="preserve">נעמה מפקידה 1,000 ש״ח כל חודש 3 שנים, אך ההפקדה הראשונה עוד חודשיים. </t>
  </si>
  <si>
    <t>אז ככה, תחילה נתאם את הריבית האפקטיבית הרבעונית לחודשית עם מעריך חזקה מתאים.</t>
  </si>
  <si>
    <t xml:space="preserve">הריבית הנתונה היא ריבית אפקטיבית רבעונית בשיעור 6.12%, ורוצים ערך נוכחי. </t>
  </si>
  <si>
    <t>כעת נחשב ערך נוכחי לסדרה. חשוב לזכור שערך נוכחי של סדרה לוקח תמיד אחת אחורה ביחס למועד</t>
  </si>
  <si>
    <t>התזרים הראשון בסדרה ואם מועד התזרים הראשון בעוד חודשיים והתקבולים כל חודש, אוטומטית</t>
  </si>
  <si>
    <t>קופצים לזמן 1 ונדרשת התאמה של חודש 1 נוסף אחורה בפעולה נוספת (ידנית / מחשבונית):</t>
  </si>
  <si>
    <t>pmt</t>
  </si>
  <si>
    <t>pv</t>
  </si>
  <si>
    <t>fv</t>
  </si>
  <si>
    <t>צעד 1</t>
  </si>
  <si>
    <t>צעד 2</t>
  </si>
  <si>
    <t>זו באמת שאלה מורכבת יותר, ברמת אופן הצגת הנתונים. בעיקרון שווה להגיע אליה ״בסוף״ אחרי שהנושאים</t>
  </si>
  <si>
    <t xml:space="preserve">הקלאסיים יותר מכוסים. </t>
  </si>
  <si>
    <t>בכל מקרה, להלן הסבר:</t>
  </si>
  <si>
    <t>אם סדרה היא אינסופית - הרי היא מתחילה בערך מסוים, וככל שמתקרבים למועד התשלום, כך ערכה עולה (נצברת</t>
  </si>
  <si>
    <t xml:space="preserve">ריבית ומתקרבים למועד תשלום). </t>
  </si>
  <si>
    <t xml:space="preserve">לכן, המחיר הנמוך ביותר הוא מיד לאחר ביצוע תשלום מסוים, והמחיר הגבוה ביותר הוא רגע לפני התשלום. </t>
  </si>
  <si>
    <t>פרט, זה אומר שמחיר תכנית ההשקעה בתחילת פברואר (רחוק מהתשלום של יולי) נמוך ממחיר התוכנית בסוף דצמבר</t>
  </si>
  <si>
    <t xml:space="preserve">שהוא רגע לפני התשלום של ינואר. </t>
  </si>
  <si>
    <t>שאלה 11</t>
  </si>
  <si>
    <t>שוב שאלה עם סקר שוק שכבר בוצע, ולכן לא רלוונטי בעליל - הוא אמנם ישולם בעתיד הכל טוב ויפה, אך זוהי עלות</t>
  </si>
  <si>
    <t xml:space="preserve">שבנקודת הזמן הנוכחית אין כל דרך להמנע ממנה. לכן איננה רלוונטית לקבלת החלטות. </t>
  </si>
  <si>
    <t>מסים על ההכנסה לפי 30%</t>
  </si>
  <si>
    <t>שימו לב, לעניין מכר ההשקעה, יש שתי שיטות הצגה שמראים בפתרונות.</t>
  </si>
  <si>
    <t>שיטה אחת מראה את התזרים ברוטו בזמן 5 בסך 10, ולמעלה מכניסה לרווחים את רווח ההון שהוא 10 (כי הפריט הופחת</t>
  </si>
  <si>
    <t xml:space="preserve">במלואו). </t>
  </si>
  <si>
    <t>שיטה אחרת שהצגנו בתרגול אומרת - עזבו את רווח ההון מההצגה בשורות העליונות, חשבו את התזרים נטו מהמכירה,</t>
  </si>
  <si>
    <t xml:space="preserve">שהוא לפי התזרים ברוטו 10 בניכוי מס על ה-10 הללו (מס של 30%) כך שהתזרים נטו הוא 7. </t>
  </si>
  <si>
    <t>סוגיות נוספות שנשאלתי לגביהן ע״י סטודנטים וסטודנטיות לדורותיהן</t>
  </si>
  <si>
    <t>שנים 1-5</t>
  </si>
  <si>
    <t>שנים 6-20</t>
  </si>
  <si>
    <t>שנים 21-30</t>
  </si>
  <si>
    <t>משוואת הפתרון:</t>
  </si>
  <si>
    <t>103.2745x = 1,032,745</t>
  </si>
  <si>
    <t>תרגיל בית 1 - שאלה 8 (לרציונל פתרון מלא בשאלה מקבילה - עיינו בתרגול 2 שאלה 5)</t>
  </si>
  <si>
    <t>תרגיל בית 1 - שאלה 6 (לרציונל פתרון מלא בשאלה מקבילה - עיינו בתרגול 1 שאלה 5)</t>
  </si>
  <si>
    <t xml:space="preserve">ניתן לקבל 1,000 כל שנה 3 שנים, ו-1,200 כל שנה בכל שנה עוקבת 10 שנים. </t>
  </si>
  <si>
    <t>או: לקבל 15,000 בעוד 5 שנים.</t>
  </si>
  <si>
    <t>מה החלופה המועדפת?</t>
  </si>
  <si>
    <t>כאשר ישנה סדרה שכוללת תקבולים שמשתנים בשלב מסוים, מדובר בסדרה מורכבת, ואת ערכה</t>
  </si>
  <si>
    <t>הנוכחי נחשב מהסוף להתחלה. כלומר, נתחיל בערך נוכחי ל-1,200 - 10 תשלומים, ולאחר מכן</t>
  </si>
  <si>
    <t xml:space="preserve">נצרף זאת (בדרך של העברת PV ל-FV בסימן הפוך) עבור הסדרה של 1,000 בכל שנה 3 שנים. </t>
  </si>
  <si>
    <t>כך נקבל:</t>
  </si>
  <si>
    <t>time 4-13</t>
  </si>
  <si>
    <t>time 1-3</t>
  </si>
  <si>
    <t>כלומר שווי החלופה כ-10,728 ש״ח.</t>
  </si>
  <si>
    <t>החלופה הקלה של 15,000 בעוד 5 שנים:</t>
  </si>
  <si>
    <t>כלומר שווי החלופה כ-11,753 ש״ח ולכן היא תועדף.</t>
  </si>
  <si>
    <t>מבחן 1</t>
  </si>
  <si>
    <t>מבחן 2</t>
  </si>
  <si>
    <t>מבחן 3</t>
  </si>
  <si>
    <t>מבחן 4</t>
  </si>
  <si>
    <t>2, 4, 12</t>
  </si>
  <si>
    <t>3, 6, 13</t>
  </si>
  <si>
    <t>2, 14</t>
  </si>
  <si>
    <t>ריבית אפקטיבית</t>
  </si>
  <si>
    <t>6,9</t>
  </si>
  <si>
    <t>8,9,10,11</t>
  </si>
  <si>
    <t>1, 5, 15</t>
  </si>
  <si>
    <t>5,8</t>
  </si>
  <si>
    <t>14,15</t>
  </si>
  <si>
    <t>הלוואות (לוחות סילוקין)</t>
  </si>
  <si>
    <t>2,4,5</t>
  </si>
  <si>
    <t>4, 8, 9</t>
  </si>
  <si>
    <t>פרויקטים - תזרימים נתונים</t>
  </si>
  <si>
    <t>5,7,9,13</t>
  </si>
  <si>
    <t>1, 2,4,10,12,15</t>
  </si>
  <si>
    <t>12,13</t>
  </si>
  <si>
    <t>תזרימי מזומנים</t>
  </si>
  <si>
    <t>3,7,11</t>
  </si>
  <si>
    <t>6,7</t>
  </si>
  <si>
    <t>11,12</t>
  </si>
  <si>
    <r>
      <rPr>
        <sz val="11"/>
        <rFont val="David"/>
        <family val="2"/>
        <charset val="177"/>
      </rPr>
      <t>1, 11</t>
    </r>
    <r>
      <rPr>
        <sz val="12"/>
        <rFont val="David"/>
        <family val="2"/>
        <charset val="177"/>
      </rPr>
      <t>,</t>
    </r>
    <r>
      <rPr>
        <sz val="11"/>
        <rFont val="David"/>
        <family val="2"/>
        <charset val="177"/>
      </rPr>
      <t>14</t>
    </r>
    <r>
      <rPr>
        <sz val="12"/>
        <rFont val="David"/>
        <family val="2"/>
        <charset val="177"/>
      </rPr>
      <t>,</t>
    </r>
    <r>
      <rPr>
        <sz val="11"/>
        <rFont val="David"/>
        <family val="2"/>
        <charset val="177"/>
      </rPr>
      <t>15</t>
    </r>
  </si>
  <si>
    <t>ממוצע</t>
  </si>
  <si>
    <t>משקל ממוצע</t>
  </si>
  <si>
    <t>עברנו בתרגול המסכם 6.10.2024</t>
  </si>
  <si>
    <t>לאחר מכן, בחלוף שנה בדיוק [החל מזמן 21], הוא מתחיל למשוך סכום שנתי בסוף כל שנה במשך 5 שנים של 4,500 [שנים: 21-25]</t>
  </si>
  <si>
    <t>לאחר מכן, בכל שנה מהשנתיים העוקבות [שנים: 26-27], מושך 5,000 ש״ח. לאחר מכן, בסוף השנה ה-28, הוא מושך את היתרה.</t>
  </si>
  <si>
    <t xml:space="preserve">השאלה מורכבת - ראשית, משום שסכומי המשיכות משתנים (סדרת משיכות מורכבת / מספר סדרות), </t>
  </si>
  <si>
    <t xml:space="preserve">ושנית, משום שהערך שאותו נדרש לחלץ הוא היתרה בתום התקופה (FV). </t>
  </si>
  <si>
    <t>שואלים מהו סכום היתרה (בשאלה נתון שריבית השנתית 7%).</t>
  </si>
  <si>
    <t xml:space="preserve">א. חשב את הערך העתידי FV של ההפקדה / ההפקדות עד ל״ערב הפרישה״ - תקופה אחת לפני תחילת המשיכות. </t>
  </si>
  <si>
    <t xml:space="preserve">במקרה זה, אם ההפקדה היא ל-20 שנה, אני פשוט מחשב ערך עתידי FV לזמן 20. </t>
  </si>
  <si>
    <r>
      <t xml:space="preserve">ב. חשב את הערך הנוכחי PV של </t>
    </r>
    <r>
      <rPr>
        <b/>
        <sz val="12"/>
        <color theme="1"/>
        <rFont val="David"/>
        <family val="2"/>
        <charset val="177"/>
      </rPr>
      <t>המשיכות</t>
    </r>
    <r>
      <rPr>
        <sz val="12"/>
        <color theme="1"/>
        <rFont val="David"/>
        <family val="2"/>
        <charset val="177"/>
      </rPr>
      <t xml:space="preserve">, </t>
    </r>
    <r>
      <rPr>
        <u/>
        <sz val="12"/>
        <color theme="1"/>
        <rFont val="David"/>
        <family val="2"/>
        <charset val="177"/>
      </rPr>
      <t>לאותה נקודת זמן</t>
    </r>
    <r>
      <rPr>
        <sz val="12"/>
        <color theme="1"/>
        <rFont val="David"/>
        <family val="2"/>
        <charset val="177"/>
      </rPr>
      <t xml:space="preserve">. לרבות היתרה בתום התקופה. אבל הואיל והיתרה הנ״ל ״בסוף״ לא נתונה, נתעלם ממנה. </t>
    </r>
  </si>
  <si>
    <t xml:space="preserve">ג. נחשב את ההפרש בין ה-FV של סך ההפקדות ל-PV של סך המשיכות (לא כולל המשיכה של היתרה בסוף) לזמן 20 - נצפה לקבל הפרש חיובי.  </t>
  </si>
  <si>
    <t>ד. הפרש זה, יתרה במונחי זמן 20, נקדם לזמן 28 כדי למצוא את היתרה לזמן 28 (נקודת הזמן שבה תתקיים היתרה) ע״י מכפלה פשוטה ב-1 ועוד הריבית.</t>
  </si>
  <si>
    <t>יתרה לאותה נקודה לזמן 20</t>
  </si>
  <si>
    <t xml:space="preserve">38,697 - 24,896 = </t>
  </si>
  <si>
    <t xml:space="preserve">13,800 * (1 + 7%)^8 = </t>
  </si>
  <si>
    <t>סדרות המשיכה במונחי PV</t>
  </si>
  <si>
    <t>מה למדתי?</t>
  </si>
  <si>
    <t xml:space="preserve">בשאלות עם הפקדות ומשיכות - </t>
  </si>
  <si>
    <t xml:space="preserve">להפקדות מבצעים FV, למשיכות PV. </t>
  </si>
  <si>
    <t>אם סדרת המשיכות היא מורכבת, כלומר</t>
  </si>
  <si>
    <t>כוללת כמה תתי סדרות, חישוב ערכה הנוכחי PV</t>
  </si>
  <si>
    <t>יבוצע ״מהסוף להתחלה״ כלומר, מחשבים PV</t>
  </si>
  <si>
    <t>לסדרה המאוחרת יותר, ומזינים את התוצאה</t>
  </si>
  <si>
    <t>בתור ה-FV (בסימן הפוך) של הסדרה המוקדמת</t>
  </si>
  <si>
    <t>יותר...</t>
  </si>
  <si>
    <t>אם נשארת יתרה בסוף תקופת המשיכות,</t>
  </si>
  <si>
    <t>המשמעות היא שקיים הפרש בין PV משיכות</t>
  </si>
  <si>
    <t>ל-FV הפקדות, ויש לבטאו באמצעות הכפלה</t>
  </si>
  <si>
    <t>מתאימה בריבית - לנקודת הזמן אליה מחושבת</t>
  </si>
  <si>
    <t>היתרה.</t>
  </si>
  <si>
    <t>המרצה בחר לחשב את הערך העתידי של ההפקדות לזמן 25.</t>
  </si>
  <si>
    <t>אם אכן בוחרים כך, אזי גם את המשיכות צריך לבטא במונחי אותה נקודת זמן.</t>
  </si>
  <si>
    <t>ובמצב כזה, כמובן שיחושב ערך עתידי למשיכות בזמן 21-25 כסדרה.</t>
  </si>
  <si>
    <t xml:space="preserve">באותה נקודה - הוא חישב את ההפרש: 28,396. </t>
  </si>
  <si>
    <t>ואותו דחף לזמן 27: כך מתקבל שההפרש בגין המשיכות הראשונות לזמן 27 הוא 32,510.</t>
  </si>
  <si>
    <t xml:space="preserve">המשיכות הנוספות נדחפו גם הן ל-27, ואז חושב שוב ההפרש. </t>
  </si>
  <si>
    <t>ואז הערך נדחף עוד שנה קדימה מ-27 ל-28 על מנת לדעת מהי התוצאה.</t>
  </si>
  <si>
    <t>עוד נתון שזרמי המזומנים צמודים ב-70% למדד, ונדרש הענ״נ (NPV) של תכנית ההשקעה.</t>
  </si>
  <si>
    <t xml:space="preserve">כדי לחשב NPV עליי לדעת את תזרימי המזומנים נטו (נתון) וגם את הריבית המשמשת בהיוונם. </t>
  </si>
  <si>
    <r>
      <t xml:space="preserve">באופן כללי - רוצים לחשב </t>
    </r>
    <r>
      <rPr>
        <b/>
        <sz val="12"/>
        <color theme="1"/>
        <rFont val="David"/>
        <family val="2"/>
        <charset val="177"/>
      </rPr>
      <t>ערך נוכחי</t>
    </r>
    <r>
      <rPr>
        <sz val="12"/>
        <color theme="1"/>
        <rFont val="David"/>
        <family val="2"/>
        <charset val="177"/>
      </rPr>
      <t xml:space="preserve"> של </t>
    </r>
    <r>
      <rPr>
        <b/>
        <sz val="12"/>
        <color theme="1"/>
        <rFont val="David"/>
        <family val="2"/>
        <charset val="177"/>
      </rPr>
      <t>תזרימים ריאליים</t>
    </r>
    <r>
      <rPr>
        <sz val="12"/>
        <color theme="1"/>
        <rFont val="David"/>
        <family val="2"/>
        <charset val="177"/>
      </rPr>
      <t xml:space="preserve"> (שכפופים למנגנון הצמדה) </t>
    </r>
    <r>
      <rPr>
        <b/>
        <sz val="12"/>
        <color theme="1"/>
        <rFont val="David"/>
        <family val="2"/>
        <charset val="177"/>
      </rPr>
      <t>בריבית ריאלית (מחיר ההון הריאלי)</t>
    </r>
    <r>
      <rPr>
        <sz val="12"/>
        <color theme="1"/>
        <rFont val="David"/>
        <family val="2"/>
        <charset val="177"/>
      </rPr>
      <t>.</t>
    </r>
  </si>
  <si>
    <r>
      <t xml:space="preserve">בשונה מכך - ערך נוכחי של </t>
    </r>
    <r>
      <rPr>
        <b/>
        <sz val="12"/>
        <color theme="1"/>
        <rFont val="David"/>
        <family val="2"/>
        <charset val="177"/>
      </rPr>
      <t>תזרימים</t>
    </r>
    <r>
      <rPr>
        <sz val="12"/>
        <color theme="1"/>
        <rFont val="David"/>
        <family val="2"/>
        <charset val="177"/>
      </rPr>
      <t xml:space="preserve"> שקליים (</t>
    </r>
    <r>
      <rPr>
        <b/>
        <sz val="12"/>
        <color theme="1"/>
        <rFont val="David"/>
        <family val="2"/>
        <charset val="177"/>
      </rPr>
      <t>נומינליים</t>
    </r>
    <r>
      <rPr>
        <sz val="12"/>
        <color theme="1"/>
        <rFont val="David"/>
        <family val="2"/>
        <charset val="177"/>
      </rPr>
      <t xml:space="preserve">) - תזרימי מזומנים שלגביהם לא חל מנגנון הצמדה, </t>
    </r>
    <r>
      <rPr>
        <b/>
        <sz val="12"/>
        <color theme="1"/>
        <rFont val="David"/>
        <family val="2"/>
        <charset val="177"/>
      </rPr>
      <t>מחשבים בריבית נומינלית (מחיר הון נומינלי)</t>
    </r>
    <r>
      <rPr>
        <sz val="12"/>
        <color theme="1"/>
        <rFont val="David"/>
        <family val="2"/>
        <charset val="177"/>
      </rPr>
      <t>.</t>
    </r>
  </si>
  <si>
    <t>תזרים כולל</t>
  </si>
  <si>
    <t>נתון בשאלה</t>
  </si>
  <si>
    <t>פיצול של כלל התזרימים (למעט ההשקעה שהיא בזמן 0 ולכן סכומה הוא</t>
  </si>
  <si>
    <t>ערכה הנוכחי) לרכיב 70% שהוא ריאלי (צמוד) ולרכיב 30% שהוא נומינלי (לא צמוד)</t>
  </si>
  <si>
    <t>רכיב צמוד (70%) - ריאלי</t>
  </si>
  <si>
    <t>רכיב לא צמוד (30%) - נומינלי</t>
  </si>
  <si>
    <t>את התזרים הנומינלי - נהוון במחיר הון נומינלי - לא נתון, אך ניתן לחישוב לפי משוואת פישר:</t>
  </si>
  <si>
    <t>(1 + 4%) * (1 + 6%) = (1 + rn)</t>
  </si>
  <si>
    <t xml:space="preserve">rn = </t>
  </si>
  <si>
    <t>המטרה היא להוון תזרימים בתדירות שנתית,</t>
  </si>
  <si>
    <t xml:space="preserve">ולכן מחיר ההון צריך להיות לשנה. </t>
  </si>
  <si>
    <t>ולכן התבססנו על ריבית לשנה אחת ואינפלציה לשנה אחת.</t>
  </si>
  <si>
    <r>
      <t xml:space="preserve">את התזרימים הריאליים, נהוון במחיר הון ריאלי </t>
    </r>
    <r>
      <rPr>
        <sz val="12"/>
        <color rgb="FFFF0000"/>
        <rFont val="David"/>
        <family val="2"/>
        <charset val="177"/>
      </rPr>
      <t>4%</t>
    </r>
    <r>
      <rPr>
        <sz val="12"/>
        <color theme="1"/>
        <rFont val="David"/>
        <family val="2"/>
        <charset val="177"/>
      </rPr>
      <t xml:space="preserve"> נתון.</t>
    </r>
  </si>
  <si>
    <t>NPV Income</t>
  </si>
  <si>
    <t>ה-NPV של ההכנסות הריאליות</t>
  </si>
  <si>
    <t>אלו שצמודות למדד</t>
  </si>
  <si>
    <t>ה-NPV של ההכנסות הנומינליות</t>
  </si>
  <si>
    <t>אלו שאינן צמודות למדד</t>
  </si>
  <si>
    <t>בניכוי עלויות ראשוניות</t>
  </si>
  <si>
    <t xml:space="preserve">בזמן 0 קרי עלות </t>
  </si>
  <si>
    <t>ההשקעה</t>
  </si>
  <si>
    <t>שכר העבודה השנתי כיום 3,000 (תזרים שלילי שוטף), והוא במונחים ריאליים - יעלה בשיעור 12% לשנה.</t>
  </si>
  <si>
    <r>
      <t xml:space="preserve">נתחיל מטבלת תזרימים המתייחסת רק </t>
    </r>
    <r>
      <rPr>
        <b/>
        <sz val="12"/>
        <color theme="1"/>
        <rFont val="David"/>
        <family val="2"/>
        <charset val="177"/>
      </rPr>
      <t>לערכים ריאליים</t>
    </r>
    <r>
      <rPr>
        <sz val="12"/>
        <color theme="1"/>
        <rFont val="David"/>
        <family val="2"/>
        <charset val="177"/>
      </rPr>
      <t xml:space="preserve"> אלו:</t>
    </r>
  </si>
  <si>
    <t>ערך נוכחי של כלל התזרימים הריאליים (ללא השפעות מיסים של פחת)</t>
  </si>
  <si>
    <t>נעבור לטבלת ערכים נומינליים - כלומר, הערך הנוכחי החיובי הנוצר כתוצאה ממגיני / זיכויי מגן המס על הפחת (ללא השקעה שכבר נדונה לעיל):</t>
  </si>
  <si>
    <t xml:space="preserve">700,000 / 2 = </t>
  </si>
  <si>
    <t>עלות השקעה חלקי תקופת הפחתה</t>
  </si>
  <si>
    <t>למעשה, זה הפסד</t>
  </si>
  <si>
    <t>בגין הפסדים והוצאות - קיימת השפעת מס חיובית לפי מכפלת סכום ההוצאה / ההפסד בשיעור המס</t>
  </si>
  <si>
    <t>לחילופין: תמיד אפשר לחשב בצורה מהירה את ההשפעה התזרימית הספציפית של הפחת</t>
  </si>
  <si>
    <t>על בסיס ערך חיובי תקופתי בגבוה הוצאות הפחת כפול שיעור המס:</t>
  </si>
  <si>
    <t>700,000 / 2 * 40% = 140,000</t>
  </si>
  <si>
    <t xml:space="preserve">rn = (1 + 10%) * (1 + 5%) - 1 = </t>
  </si>
  <si>
    <t>הערך הנוכחי של התזרימים הנומינליים. עליי להוסיפו לערך הנוכחי של התזרימים</t>
  </si>
  <si>
    <t xml:space="preserve">הריאליים כדי להגיע לענ״נ הכולל. </t>
  </si>
  <si>
    <t xml:space="preserve">ערך נוכחי תזרימים ריאליים (כולל גילום השקעה בזמן 0). </t>
  </si>
  <si>
    <t xml:space="preserve">ערך נוכחי תזרימים נומינליים (מגיני המס על הפחת בערכם הנוכחי). </t>
  </si>
  <si>
    <t>כל עלות ״טרום עסקית״</t>
  </si>
  <si>
    <t>כזו שתשלומה או המחויבות לשלמה</t>
  </si>
  <si>
    <t>נוצרה בעבר, טרם קבלת ההחלטה</t>
  </si>
  <si>
    <t>בנקודת הזמן הנוכחית, איננה</t>
  </si>
  <si>
    <t>רלוונטית לקבלת החלטות ולא תהווה</t>
  </si>
  <si>
    <t>חלק מרכיבי תזרימי המזומנים</t>
  </si>
  <si>
    <t>לחישוב הענ״נ.</t>
  </si>
  <si>
    <t>ביצוע</t>
  </si>
  <si>
    <t>דוחה</t>
  </si>
  <si>
    <t>תזרימי המזומנים של פרויקט</t>
  </si>
  <si>
    <t xml:space="preserve">הם תמיד ולעולם רק ההפרש </t>
  </si>
  <si>
    <t>בין שני העולמות הללו</t>
  </si>
  <si>
    <t xml:space="preserve">באפשרויות המענה ישנם מגוון מחירי הון (5%, 10%, 25%). לכן הדרך הנכונה היא לחשב את ה-NPV לכל מחירי ההון לסוגיהם. </t>
  </si>
  <si>
    <t>Csh. Deditor &gt;&gt;&gt;</t>
  </si>
  <si>
    <t>בהנחה שהפרויקטים לא מוציאים זה את זה, כל הפרויקטים כדאיים - ענ״נ חיובי</t>
  </si>
  <si>
    <t>בהנחה שהפרויקטים לא מוציאים זה את זה, רק A ו-C כדאיים</t>
  </si>
  <si>
    <t>בהנחה שהפרויקטים מוציאים זה את זה - לוקחים את הגבוה מביניהם - C.</t>
  </si>
  <si>
    <t>בהנחה שהפרויקטים מוציאים זה את זה - לוקחים את הגבוה מביניהם - A.</t>
  </si>
  <si>
    <t xml:space="preserve">הטענה היחידה הנכונה היא טענה 1. </t>
  </si>
  <si>
    <t>…Forever</t>
  </si>
  <si>
    <t>אינסופית</t>
  </si>
  <si>
    <t>תזרים שנתי, ריבית שנתית</t>
  </si>
  <si>
    <t>תזרימים אחת לשנתיים, נדרשת ריבית לשנתיים</t>
  </si>
  <si>
    <r>
      <rPr>
        <sz val="12"/>
        <color theme="0"/>
        <rFont val="David"/>
        <family val="2"/>
        <charset val="177"/>
      </rPr>
      <t>,</t>
    </r>
    <r>
      <rPr>
        <sz val="12"/>
        <color theme="1"/>
        <rFont val="David"/>
        <family val="2"/>
        <charset val="177"/>
      </rPr>
      <t>=(1+12%)^2-1</t>
    </r>
  </si>
  <si>
    <t>חישוב ערך נוכחי של סדרה אינסופית</t>
  </si>
  <si>
    <t>שמתחילה בזמן 5 לזמן 0</t>
  </si>
  <si>
    <t>ערך נוכחי לסדרה האינסופית הנתונה</t>
  </si>
  <si>
    <t>הואיל והתזרימים כל שנתיים, וההתחלה ב-5,</t>
  </si>
  <si>
    <t>הערך הנוכחי הסדרתי מקפיץ שנתיים אחורה ביחס ל-5</t>
  </si>
  <si>
    <t>כלומר לזמן 3</t>
  </si>
  <si>
    <t xml:space="preserve">התאמה </t>
  </si>
  <si>
    <t>של 3</t>
  </si>
  <si>
    <t>נוספות</t>
  </si>
  <si>
    <t>לאחור</t>
  </si>
  <si>
    <t>בריבית שנתית</t>
  </si>
  <si>
    <t xml:space="preserve">כך מקבלים ערך נוכחי של הסדרה האינסופית לזמן 0. </t>
  </si>
  <si>
    <t>חישוב ערך נוכחי של סדרה</t>
  </si>
  <si>
    <t>סופית שנתית מזמן 1 לזמן 4</t>
  </si>
  <si>
    <t>סדרה זו מתחילה בזמן 1</t>
  </si>
  <si>
    <t>והיא בתדירותש נתית</t>
  </si>
  <si>
    <t>לכן הקפיצה האוטומטית</t>
  </si>
  <si>
    <t>תקופת תשלום אחת אחורה מובילה שנה אחת לפני</t>
  </si>
  <si>
    <t>זמן 1 - כלומר לזמן 0 ואין צורך בהתאמה.</t>
  </si>
  <si>
    <t>ניקח את ההלוואה בסך 5,000 ש״ח בזמן אפס, ובזמן 1, מבוצע התשלום הראשון. בהתחשב</t>
  </si>
  <si>
    <t>יתרה</t>
  </si>
  <si>
    <t>ע״ח קרן</t>
  </si>
  <si>
    <t>פריסה מפה ואילך</t>
  </si>
  <si>
    <t>בשיטה שפיצרית</t>
  </si>
  <si>
    <t>מספר התשלומים (2 עד 10)</t>
  </si>
  <si>
    <t>היתרה לנקודת הזמן שממנה ואילך התשלומים קבועים ולפיכך נפרסים כשפיצר</t>
  </si>
  <si>
    <t>בשפיצר - יתרת תום התקופה 0</t>
  </si>
  <si>
    <t xml:space="preserve">השאלה דנה בחוסך שמעוניין להבטיח לעצמו הכנסה חודשית בסך 2,500 בסוף כל חודש 10 שנים. </t>
  </si>
  <si>
    <t>הסכום יתקבל לראשונה בעוד חודש.</t>
  </si>
  <si>
    <t>שואלים כמה צריך להפקיד היום כדי לאפשר זאת, בהנחה שהריבית הנקובה 24% לשנה, מחושבת חודשית.</t>
  </si>
  <si>
    <t>בעיקרון - השאלה פשוטה מאד. הסכום החד פעמי שצריך להפקיד כדי לממן סדרת תשלומים חייב להיות הערך</t>
  </si>
  <si>
    <t xml:space="preserve">הנוכחי קרי PV של סדרת התשלומים (המשיכות). </t>
  </si>
  <si>
    <t xml:space="preserve">השאלה המעניינת כאן היא לגבי הריבית. </t>
  </si>
  <si>
    <t>מה פשר ריבית נקובה 24% מחושבת חודשית?</t>
  </si>
  <si>
    <t>ובכן, צריך לעבוד על זה לאט.</t>
  </si>
  <si>
    <t>קודם כל, נדע: בחישובים של ערך נוכחי, אני תמיד צריך ריבית אפקטיבית.</t>
  </si>
  <si>
    <t xml:space="preserve">לעניין סדרות, ולא משך העסקה הכולל). </t>
  </si>
  <si>
    <t>הואיל והריבית שנתית נקובה, מחושבת כל חודש, התהליך בחישוב הריבית נשען על הנוסחה ה״מורכבת״ אשר</t>
  </si>
  <si>
    <t>כוללת שני חלקים - העברת הריבית הנקובה לריבית לתקופת חישוב, ואז החזרתה למונחים אפקטיביים עם מעריך</t>
  </si>
  <si>
    <t>חזקה מתאים. כלומר:</t>
  </si>
  <si>
    <t>וביישום:</t>
  </si>
  <si>
    <t>כשההסבר הוא:</t>
  </si>
  <si>
    <t>הערך 24% זו הריבית הנקובה. המהלך הראשון הוא להעביר אותה לתקופת חישוב אחת על ידי חלוקה מתאימה.</t>
  </si>
  <si>
    <t>הואיל והנקובה שנתית, והחישוב כל חודש, החלוקה היא ב-12.</t>
  </si>
  <si>
    <t>השלב הבא הוא מעריך החזקה. מעריך החזקה הוא התשובה לשאלה - כמה תקופות חישוב (כאן - חודש) נכנסות</t>
  </si>
  <si>
    <t>בתוך תקופת הריבית הנדרשת (כאן - צריך ריבית חודשית, כי כאמור מדובר בסדרה שמרווח הזמן בין תזרימיה חודש).</t>
  </si>
  <si>
    <t xml:space="preserve">התשובה היא 1. </t>
  </si>
  <si>
    <t>כך מגיעים ל-2%.</t>
  </si>
  <si>
    <t>חדי העיין מביניכם בודאי יכולים לומר: ״שי, פשוט יכולנו לחלק 24% ב-12 וזהו״ וזה נכון. מה שניסיתי להראות</t>
  </si>
  <si>
    <t>זה שמדובר למעשה במקרה פרטי של חישוב ריבית אפקטיבית כאשר הריבית נקובה ומחושבת מספר פעמים.</t>
  </si>
  <si>
    <t xml:space="preserve">זו לא נוסחה שונה, או לוגיקה אחרת. </t>
  </si>
  <si>
    <t>וזה הכל. ברגע שיש את זה אפשר לחשב:</t>
  </si>
  <si>
    <t>השאלה עוסקת בהלוואה ל-5 שנים שדורשת ניכוי מראש בשיעור 30%, רוצים לדעת מהי הריבית האפקטיבית השנתית</t>
  </si>
  <si>
    <t xml:space="preserve">לכל אורך תקופת ההלוואה. </t>
  </si>
  <si>
    <t>יש כמה גישות. כנראה הגישה הפשוטה ביותר היא זו האומרת שברגע שיש עסקה שכל מה שהיא כוללת זה תשלום</t>
  </si>
  <si>
    <t>ריבית מראש / ניכוי מראש, ולא נתונים הסכומים הכספיים, אפשר להניח (לשם פשטות) שהסכום הוא 100, ואז</t>
  </si>
  <si>
    <t>להשתמש בערכי הניכוי כדי להציג את התזרים בתחילת התקופה ובתום התקופה וממנו לחלץ את הריבית</t>
  </si>
  <si>
    <t>האפקטיבית לתקופת העסקה כולה.</t>
  </si>
  <si>
    <t>לאחר שהריבית האפקטיבית לתקופת העסקה כולה בידינו, אין שום בעיה להמיר אותה לשנה עם מעריך חזקה</t>
  </si>
  <si>
    <t>מתאים.</t>
  </si>
  <si>
    <t xml:space="preserve">זמן </t>
  </si>
  <si>
    <t>קרן ראשונית - נניח 100</t>
  </si>
  <si>
    <t>ניכוי מראש לפי 30% מה-100</t>
  </si>
  <si>
    <t>תזרים נטו</t>
  </si>
  <si>
    <t>החזר קרן ראשונית</t>
  </si>
  <si>
    <t>היחס בין סך התשלום בסוף לסך התקבול בהתחלה, נטו, הוא הריבית האפקטיבית לתקופת העסקה כולה. כאן:</t>
  </si>
  <si>
    <t>שאלות לגבי תכני התרגולים - אליי, ,בשמחה וגיל: shay.tsaban@gmail.com.</t>
  </si>
  <si>
    <t>נושא ראשון (והיחיד במפגש זה, ככל הנראה) - ערך נוכחי - PV</t>
  </si>
  <si>
    <t>***</t>
  </si>
  <si>
    <t>שימו לב: המושג ״ריבית תקופתית״ מתייחס לפרק הזמן של הריבית הנתונה.</t>
  </si>
  <si>
    <t>כאן ספציפית נתונה ריבית חודשית.</t>
  </si>
  <si>
    <t>בהתאם לתקופת הריבית, יש לקבוע בהתאם את ה-n שמתייחס למספר תקופות הריבית.</t>
  </si>
  <si>
    <t>בשיק 123, תקופת התקבול היא בעוד חודש, והואיל והריבית חודשית, ה-n שווה ל-1.</t>
  </si>
  <si>
    <t>הרחבה - האם ניתן, באמצעות המחשבון הפיננסי לחשב ערך נוכחי מצרפי / כולל של צרור שיקים בפעולה אחת?</t>
  </si>
  <si>
    <t>כן!</t>
  </si>
  <si>
    <t>הריבית לפרק הזמן בין תשלומים</t>
  </si>
  <si>
    <t>Csh. D. Editor &gt;&gt;&gt;&gt;&gt; EXE &gt;&gt;&gt;&gt;&gt;&gt;</t>
  </si>
  <si>
    <t>הווה, היום, זמן 0</t>
  </si>
  <si>
    <t>ערך נוכחי מצרפי של כלל השיקים:</t>
  </si>
  <si>
    <t xml:space="preserve">אספרסו אומר: </t>
  </si>
  <si>
    <t xml:space="preserve">״שי, הדגש להם - CMPD ישרת אותי בערך נוכחי / עתידי של סכום יחיד או סדרות קבועות (אותן נציג בהמשך), </t>
  </si>
  <si>
    <t>וה-CASH ישרתני בעיקר בערך נוכחי של סדרות סכומים שערכיהן משתנים״</t>
  </si>
  <si>
    <t>בנוסחאות המתמטיות הריבית מסומנת r</t>
  </si>
  <si>
    <t>במחשבון הפיננסי, נקודה ״1״ היא זמן 0, ובה אין תזרים באף עסקה.</t>
  </si>
  <si>
    <t>במחשבון הפיננסי, נקודה ״2״ היא זמן 1, וכן הלאה...</t>
  </si>
  <si>
    <t>דרך ראשונה - CASH</t>
  </si>
  <si>
    <t>דרך שנייה - CMPD</t>
  </si>
  <si>
    <t xml:space="preserve">אם נתקלתי בסדרת תזרימים קבועה שמופע איברה הראשון איננו בעוד תקופה אחת - אלא בזמן אחר, </t>
  </si>
  <si>
    <t>אפעל כך לשם חישוב הערך הנוכחי לזמן 0:</t>
  </si>
  <si>
    <t xml:space="preserve">שאלה 2.1 - לשם המחשה נוספת של הכלים הרלוונטיים לחישוב ערך נוכחי של סדרה קבועה דחויה </t>
  </si>
  <si>
    <t>בונידו שוקל לרכוש נכס שצפוי להניב לו סכום של 50,000 ש״ח בתום כל שנה במשך 9 שנים, כאשר התקבול הראשון</t>
  </si>
  <si>
    <t>יבוצע בתום השנה ה-4.</t>
  </si>
  <si>
    <t>בהנחה שהריבית השנתית היא 3%, מהו הסכום המירבי שיסכים בונידו לשלם בעד הנכס היום?</t>
  </si>
  <si>
    <t>היום</t>
  </si>
  <si>
    <t>תקבול ראשון</t>
  </si>
  <si>
    <t>תקבול אחרון</t>
  </si>
  <si>
    <t>pmt = 50,000</t>
  </si>
  <si>
    <t>n = 9</t>
  </si>
  <si>
    <t>r = 3%</t>
  </si>
  <si>
    <t>דרך מתמטית:</t>
  </si>
  <si>
    <t>דרך CMPD:</t>
  </si>
  <si>
    <t>דרך CASH:</t>
  </si>
  <si>
    <t>שאלה 4 - איזון אקטוארי - הפקדות ומשיכות</t>
  </si>
  <si>
    <t xml:space="preserve">הריבית השנתית 6% (שימו לב לפרשנות - משיכה ראשונה בגיל 73 בתכל׳ס). הוא מפקיד בתום כל שנה עד ערב פרישתו. </t>
  </si>
  <si>
    <t>בן 97</t>
  </si>
  <si>
    <t>ערך נוכחי סדרה קבועה (של משיכות), גם מתמטית וגם מחשבונית:</t>
  </si>
  <si>
    <t>ֿ</t>
  </si>
  <si>
    <t xml:space="preserve">כעת נבטא את הערך העתידי של סדרת ההפקדות. </t>
  </si>
  <si>
    <t>מטרתנו היא להצליח לצבור סכום עתידי ערב הפרישה</t>
  </si>
  <si>
    <t>שהוא שווה ליתרת הצבירה הנדרשת (PV של המשיכות):</t>
  </si>
  <si>
    <t>על פי המשפט: באיזון אקטוארי חייב להתקיים שוויון</t>
  </si>
  <si>
    <t>בין הערך העתידי של ההפקדות לערך הנוכחי של המשיכות:</t>
  </si>
  <si>
    <t>ההפקדה השנתית שתדרש כדי לעמוד בסכומי משיכה אלו היא כ-5,598 ש״ח לשנה</t>
  </si>
  <si>
    <t xml:space="preserve">FV </t>
  </si>
  <si>
    <t>בחישובי ערך עתידי, יוזן PV רק אם ישנה הפקדה מיידית בזמן 0</t>
  </si>
  <si>
    <t>במחשבון פיננסי:</t>
  </si>
  <si>
    <t xml:space="preserve">במחשבון פיננסי אי אפשר לבצע ישירות חילוץ של x במצב כזה מורכב. אני עושה כאן טריק: נניח שאני מפקיד שקל אחד כל תקופה. </t>
  </si>
  <si>
    <t>סכום ההפקדה התקופתית הקבועה</t>
  </si>
  <si>
    <t>תרגול 3 - ריבית אפקטיבית</t>
  </si>
  <si>
    <t>הבהרה לגבי תכני האתר:</t>
  </si>
  <si>
    <t>שלא הוצגה ולא נלמדה. שני הדגשים:</t>
  </si>
  <si>
    <t>למשל, אם אני רוצה לחשב סכום החזר בהלוואת שפיצר, ואני מפנה ללוח שבו אני שולף מספר שמתאים ל-7% ו-4 תשלומים,</t>
  </si>
  <si>
    <t xml:space="preserve">זו בסך הכל הצבה בנוסחת ערך נוכחי סדרתי של 7% ו-4 תשלומים. </t>
  </si>
  <si>
    <t>ההדגש המורכב (אם בא לכם להשתמש בזה בכל זאת) - מה שהלוח שאליו אני מפנה באקסל מציג זה פשוט את התוצאות של נוסחת ערך נוכחי סדרתי.</t>
  </si>
  <si>
    <t xml:space="preserve">הבנתי שהקלטה שנקראת ״נספח א למפגש 2״ לטובת לוחות סילוקין היתה פחות ברורה לאור העובדה שכוללת התייחסות לטבלת אקסל </t>
  </si>
  <si>
    <t xml:space="preserve">ההדגש הקל - אפשר בהחלט לפתור רק על בסיס המוצג בהדרכה שנקראת ״נספח ב למפגש 2״. פשוט תתעלמו מנספח א.  </t>
  </si>
  <si>
    <t xml:space="preserve">לוחות סילוקין - שפיצר ורגיל - יש כאן תוכן כתוב שמדריך, לא נוכל לעבור עליו. תתמודדו עם מה שכתוב ותשאלו. </t>
  </si>
  <si>
    <t xml:space="preserve">ריבית אפקטיבית והנחות היסוד שלה - זה מאד חשוב ומאד מאד מרכזי. </t>
  </si>
  <si>
    <t>לומדים לבד, יש הקלטה באתר (נספח ב)</t>
  </si>
  <si>
    <t>מפה מתחיל החלק המוקלט של המפגש בסמסטר 2025א. החלק הקודם נפתר אם תרצו בהקלטת שנה שעברה (נספח ב).</t>
  </si>
  <si>
    <t>או ההלוואה בהתאמה.</t>
  </si>
  <si>
    <t xml:space="preserve">אנו כבר יודעים שאם ישנה דרך לחשב את הריבית הכספית (בש״ח), כלומר את ההפרש בין סכום הריבית לבין </t>
  </si>
  <si>
    <t xml:space="preserve">סכום ההלוואה / הקרן, אנו יודעים את הריבית האפקטיבית. </t>
  </si>
  <si>
    <t>כאן - במקום המקרה הקלאסי ״תשלם היום 1,000 או בעוד 3 חודשים 1,200״ הניסוח מתייחס למרחק זמן</t>
  </si>
  <si>
    <t xml:space="preserve">בין שתי נקודות זמן עתידיות: </t>
  </si>
  <si>
    <t>ריבית כספית בש״ח לפרק הזמן של 3 חודשים - 200:</t>
  </si>
  <si>
    <r>
      <t xml:space="preserve">הוא הריבית האפקטיבית </t>
    </r>
    <r>
      <rPr>
        <b/>
        <u/>
        <sz val="12"/>
        <color theme="1"/>
        <rFont val="David"/>
        <family val="2"/>
        <charset val="177"/>
      </rPr>
      <t>לתקופת העסקה (לפרק הזמן בין התשלומים/פרק הזמן במהלכו הריבית נצברת)</t>
    </r>
    <r>
      <rPr>
        <sz val="12"/>
        <color theme="1"/>
        <rFont val="David"/>
        <family val="2"/>
        <charset val="177"/>
      </rPr>
      <t>.</t>
    </r>
  </si>
  <si>
    <t>המכנה: מספר תקופות חישוב הריבית בתקופת הריבית הנקובה</t>
  </si>
  <si>
    <t>המעריך: מספר תקופות חישוב הריבית בתקופה של הריבית האפקטיבית שצריך לחשב</t>
  </si>
  <si>
    <r>
      <t xml:space="preserve">ז. הריבית (הנקובה) לחצי שנה היא 6% </t>
    </r>
    <r>
      <rPr>
        <u/>
        <sz val="12"/>
        <color theme="1"/>
        <rFont val="David"/>
        <family val="2"/>
        <charset val="177"/>
      </rPr>
      <t>בחישוב חודשי</t>
    </r>
  </si>
  <si>
    <t>לקחתי הלוואה</t>
  </si>
  <si>
    <t>בניכוי ריבית מראש</t>
  </si>
  <si>
    <t>תקבול נטו</t>
  </si>
  <si>
    <t>החזר</t>
  </si>
  <si>
    <t xml:space="preserve">מלשון deduction, ניכוי, ללמדנו שנוסחה זו מתייחסת למצבי ריבית מראש. </t>
  </si>
  <si>
    <t>שאלה ממבחן (מבחן לדוגמא 2)</t>
  </si>
  <si>
    <t>קרן ההלוואה (הנחה)</t>
  </si>
  <si>
    <t>ניכוי מראש</t>
  </si>
  <si>
    <t>תזרים נטו מיידי</t>
  </si>
  <si>
    <t>תשלום</t>
  </si>
  <si>
    <t xml:space="preserve">כאשר אני מחשב את הריבית האפקטיבית על בסיס היחס בין התזרים בתום התקופה לתזרים בתחילת התקופה, פחות אחת, </t>
  </si>
  <si>
    <t xml:space="preserve">התוצאה המתקבלת היא הריבית האפקטיבית לתקופת העסקה - לכן כאן קיבלתי ריבית אפקטיבית ל-5 שנים. </t>
  </si>
  <si>
    <t>נשאלת השאלה - כיצד אמיר ריבית אפקטיבית זו מ-5 שנים לשנה?</t>
  </si>
  <si>
    <t>כאן, אין ריבית המחושבת ״מספר פעמים״ או דיון אחר; כל שצריך לעשות הוא לקחת ריבית ורק להמיר את תקופתה.</t>
  </si>
  <si>
    <t>ההמרות האלו מבוצעות באמצעות מעריך חזקה מתאים בלבד.</t>
  </si>
  <si>
    <t>כאשר נתונה ריבית מראש, אפשר לחילופין להמנע מהצורך בהצגת הציר ופשוט להשתמש בנוסחה העקרונית של ריבית מראש:</t>
  </si>
  <si>
    <t xml:space="preserve">זו כאמור הריבית האפקטיבית ל-5 שנים, ואופן התאמתה יבוצע כמו שעשינו למעלה. </t>
  </si>
  <si>
    <t>תשובה א</t>
  </si>
  <si>
    <t>קרן ההלוואה</t>
  </si>
  <si>
    <t>הריבית האפקטיבית לתקופת העסקה כולה - שנתיים וחצי - על פי היחס בין התזרימים פחות אחת:</t>
  </si>
  <si>
    <t>המרה מתקופת העסקה כולה (שנתיים וחצי) לשנה:</t>
  </si>
  <si>
    <t>כאשר נתונה</t>
  </si>
  <si>
    <t>ריבית ״המחושבת כל״</t>
  </si>
  <si>
    <t>כל חודש, כל שנה, כל חציון</t>
  </si>
  <si>
    <t>זה לא המקרה פה...</t>
  </si>
  <si>
    <t>כאשר נתונה או חושבה</t>
  </si>
  <si>
    <t>ריבית כוללת ויש להמירה</t>
  </si>
  <si>
    <t>מתקופה אחת לאחרת</t>
  </si>
  <si>
    <t>זה המצב פה!!!</t>
  </si>
  <si>
    <t>כאשר נתונה ריבית המנוכה</t>
  </si>
  <si>
    <t>מראש.</t>
  </si>
  <si>
    <t>תרגול 4 - חישובי אג״ח</t>
  </si>
  <si>
    <t>חלק א - השלמות ותרגולים בנושא ריבית - חישובי ריבית אפקטיבית מנתוני סדרה והתאמת הריבית</t>
  </si>
  <si>
    <t>אלפחורס יכול לרכוש היום מחשב בעלות של 20,000 ש״ח. הוא יכול לשלם את מלוא התמורה במזומן, או</t>
  </si>
  <si>
    <t>לחילופין לשלם היום מקדמה בסכום של 2,000 ש״ח ובנוסף לשלם 2,000 ש״ח בתום כל חודש במשך 11 חודשים.</t>
  </si>
  <si>
    <t>מהי הריבית השנתית האפקטיבית המגולמת בהסדר התשלומים?</t>
  </si>
  <si>
    <t>שאלה זו, בשונה מרוב השאלות שנדונו בתרגול 3, כוללת ערכים של סדרת תשלומים (התשלום החודשי הקבוע</t>
  </si>
  <si>
    <t>עבור המחשב). בשאלות הדורשות חילוץ ריבית מנתונים סדרתיים, בשונה משאלות שפשוט מספקות ערכי ריבית</t>
  </si>
  <si>
    <t xml:space="preserve">אחוזיים שנדרשת המרתם - נעבוד בדרך שונה. </t>
  </si>
  <si>
    <t>התהליך יהיה כדלקמן:</t>
  </si>
  <si>
    <t>מקבל</t>
  </si>
  <si>
    <t>משלם</t>
  </si>
  <si>
    <t>נטו</t>
  </si>
  <si>
    <t>..</t>
  </si>
  <si>
    <t>ברגע שזיהיתי את הערך נטו המתקבל בזמן 0 (שווי המוצר בניכוי מקדמה קשורה), ואת סדרת התשלומים שתבוצע</t>
  </si>
  <si>
    <t>עבורו, בהכרח מתקיים - שהערך נטו בזמן אפס הוא למעשה ה-PV בסימן חיובי, סדרת ערכי התשלומים היא ה-PMT</t>
  </si>
  <si>
    <t>וחילוץ הריבית יכול להתבצע ביתר קלות:</t>
  </si>
  <si>
    <t>הערך המתקבל היום נטו בזמן 0</t>
  </si>
  <si>
    <t>התשלום התקופתי הקבוע בסימן שלילי</t>
  </si>
  <si>
    <t>אם היה תשלום או תקבול חד פעמי בסיום הסדרה...</t>
  </si>
  <si>
    <t>הריבית המחולצת</t>
  </si>
  <si>
    <t xml:space="preserve">הריבית שחולצה מהסדרה החודשית - היא ריבית לחודש בהגדרה. </t>
  </si>
  <si>
    <t xml:space="preserve">לפיכך, הואיל ונתבקשנו לחשב ריבית לשנה - עלינו להמירה. </t>
  </si>
  <si>
    <r>
      <t xml:space="preserve">הריבית המחולצת כ-%I, היא תמיד </t>
    </r>
    <r>
      <rPr>
        <b/>
        <sz val="12"/>
        <color theme="1"/>
        <rFont val="David"/>
        <family val="2"/>
        <charset val="177"/>
      </rPr>
      <t>אפקטיבית</t>
    </r>
    <r>
      <rPr>
        <sz val="12"/>
        <color theme="1"/>
        <rFont val="David"/>
        <family val="2"/>
        <charset val="177"/>
      </rPr>
      <t xml:space="preserve"> מה שאומר: יש לי כאן ריבית אפקטיבית לחודש, אני צריך להמירה לשנה.</t>
    </r>
  </si>
  <si>
    <t>המרת הריבית האפקטיבית מחודש לשנה מבוצעת באמצעות מעריך חזקה מתאים, ללא חלוקה או כפל:</t>
  </si>
  <si>
    <r>
      <t xml:space="preserve">חילוץ מתמטי </t>
    </r>
    <r>
      <rPr>
        <u/>
        <sz val="12"/>
        <color theme="1"/>
        <rFont val="David"/>
        <family val="2"/>
        <charset val="177"/>
      </rPr>
      <t>למי שרוצה</t>
    </r>
    <r>
      <rPr>
        <sz val="12"/>
        <color theme="1"/>
        <rFont val="David"/>
        <family val="2"/>
        <charset val="177"/>
      </rPr>
      <t>:</t>
    </r>
  </si>
  <si>
    <t>חלק ב - שאלה ספציפית לבקשתכם - תרגיל הגשה 1 שאלה 5 - ״מר בילדינג״</t>
  </si>
  <si>
    <t>מר בילדינג מתעניין בהשקעה בבניין משרדים.</t>
  </si>
  <si>
    <t xml:space="preserve">שיעור הריבית של מר בילדינג הנו 8%. </t>
  </si>
  <si>
    <t xml:space="preserve">א. מהו הסכום המירבי אותו יהיה מוכן לשלם עבור בניין המשרדים. </t>
  </si>
  <si>
    <t>השמאי קבע כי הבניין יניב 32,000 בסוף כל שנה 15 שנים, ולאחר מכן סכום של 23,000 בסוף כל שנה לאינסוף.</t>
  </si>
  <si>
    <t>.....</t>
  </si>
  <si>
    <t>Forever</t>
  </si>
  <si>
    <t xml:space="preserve">הסכום </t>
  </si>
  <si>
    <t>המירבי</t>
  </si>
  <si>
    <t>שנסכים לשלם</t>
  </si>
  <si>
    <t>הוא הערך הנוכחי</t>
  </si>
  <si>
    <t>של תקבולי הנכס</t>
  </si>
  <si>
    <t>PV(א) = FV(ב)</t>
  </si>
  <si>
    <t>מתמטית - מחברים את שני הביטויים (יוצא אותו דבר):</t>
  </si>
  <si>
    <t>סוגיה 1 - חישוב מחיר אג״ח (מכשיר פיננסי - אגרת חוב, מקנה למחזיק בו תשלומים מוגדרים היטב)</t>
  </si>
  <si>
    <t>נדרשת ריבית שוק חצי שנתית משום שפרק הזמן בין תשלומים כאן חצי שנה</t>
  </si>
  <si>
    <t>המרת ריבית השוק מתקופה אחת לאחרת היא תמיד באמצעות חזקה (לעולם לא באמצעות כפל)</t>
  </si>
  <si>
    <t>ישנן 6 תקופות ריבית</t>
  </si>
  <si>
    <t>שוק של חודש בחצי שנה</t>
  </si>
  <si>
    <t>הדגש יינתן בתרגול היום על:</t>
  </si>
  <si>
    <t>א. חזרה מושגית - רכיבי אג״ח.</t>
  </si>
  <si>
    <t xml:space="preserve">ב. חישוב מחיר אג״ח. </t>
  </si>
  <si>
    <t xml:space="preserve">ג. חילוץ תשואה לפדיון - ytm. </t>
  </si>
  <si>
    <t>והכל בהגדרות מבוססות מחשבון פיננסי.</t>
  </si>
  <si>
    <t>תרגיל בסגנון שאלה מס׳ 1 בתרגיל הגשה 3 - נושא: חישוב שיעור תשואה מתקופת החזקה באג״ח</t>
  </si>
  <si>
    <t xml:space="preserve">גוז׳ון רכש אג״ח במועד הנפקתה. אורך חיי האג״ח במועד הנפקתה 15 שנים. </t>
  </si>
  <si>
    <t xml:space="preserve">האג״ח היא בערך נקוב של 800 והיא נושאת ריבית נקובה שנתית בשיעור 8% המשולמת אחת לשנה. </t>
  </si>
  <si>
    <t xml:space="preserve">האג״ח תפדה בתשלום אחד בתום 15 השנים. </t>
  </si>
  <si>
    <t xml:space="preserve">במועד רכישת האג״ח - שיעור התשואה לפדיון הוא 5% לשנה. </t>
  </si>
  <si>
    <t>בחלוף 6 שנים מכר גוז׳ון את האג״ח. במועד המכירה, שיעור התשואה לפדיון 6% לשנה.</t>
  </si>
  <si>
    <t>נדרש: מהו שיעור התשואה התקופתי שהניב גוז׳ון במהלך תקופת החזקתו באג״ח?</t>
  </si>
  <si>
    <t>כדי לחשב את שיעור התשואה (הרווחיות באחוזים) אני צריך לדעת:</t>
  </si>
  <si>
    <t xml:space="preserve">א. כמה שילמתי - מחיר האג״ח במועד רכישתה ע״י המשקיע. </t>
  </si>
  <si>
    <t xml:space="preserve">ג. בכמה מכרתי - מחיר האג״ח במועד מכירתה ע״י המשקיע. </t>
  </si>
  <si>
    <t>ב. כמה קיבלתי - לאורך תקופת ההחזקה באג״ח - קופונים (תשלומי הריבית הנקובה) - ״טריביאלי״.</t>
  </si>
  <si>
    <t>מייצג את מספר התשלומים שנותרו לאג״ח במועד חישוב המחיר</t>
  </si>
  <si>
    <t>תשלום הקופון / הריבית התקופתית: ריבית נקובה * ערך נקוב</t>
  </si>
  <si>
    <t>בחישוב מחיר אג״ח - ה-FV הוא הערך הנקוב</t>
  </si>
  <si>
    <t>ראו מטה</t>
  </si>
  <si>
    <t>ריבית להיוון היא: שיעור תשואה לפדיון / ריבית השוק / אלטרנטיבית למועד החישוב</t>
  </si>
  <si>
    <t>שיעור תשואה עדכני לפדיון במועד המכירה</t>
  </si>
  <si>
    <t>מייצג את התשלומים שנותרו 15-6</t>
  </si>
  <si>
    <t>הקופון התקופתי נקבע בהנפקה וקבוע</t>
  </si>
  <si>
    <t>ה-FV הערך הנקוב</t>
  </si>
  <si>
    <t xml:space="preserve">שימו לב - בחישוב חוזר של מחיר האג״ח בחלוף תקופה / תקופות, הערכים היחידים שיתנו הם אלו המסומנים בריבוע - n ו- %I. </t>
  </si>
  <si>
    <t xml:space="preserve">כל היתר נקבע משפטית במועד ההנפקה. </t>
  </si>
  <si>
    <t>חילוץ שיעור תשואה בהתחשב במספר תקבולי הקופון:</t>
  </si>
  <si>
    <t>נכניס לחישוב ״בסוף״</t>
  </si>
  <si>
    <t>בשלב חילוץ התשואה - ה-n הוא מספר תקבולי הקופון</t>
  </si>
  <si>
    <t>מספר השנים שבהן המשקיע החזיק באג״ח</t>
  </si>
  <si>
    <t>ה-PMT לעולם לא משתנה! נקבע בהנפקה - מכפלת ריבית נקובה בערך נקוב</t>
  </si>
  <si>
    <t>שווי האג״ח במועד רכישתה (התשלום שבוצע על ידי המשקיע) ב-(-)</t>
  </si>
  <si>
    <t>זוהי למעשה התוצאה של שלב א</t>
  </si>
  <si>
    <t>שווי האג״ח במועד מכירתה (תמורת המכירה) שהתקבלה ב +</t>
  </si>
  <si>
    <t>זוהי למעשה התוצאה של שלב ב (בערך מוחלט)</t>
  </si>
  <si>
    <t>חילוץ שיעור התשואה שהניב המשקיע</t>
  </si>
  <si>
    <t>תרגיל נוסף בסגנון שאלה 3.1 - חישובי מחיר וחילוץ שיעור תשואה לתקופת החזקה</t>
  </si>
  <si>
    <t>תוכי קטן רכש אג״ח שערכה הנקוב 900 ש״ח שנתיים לאחר הנפקתה.</t>
  </si>
  <si>
    <t>במועד הנפקת האג״ח - שיעור התשואה לפדיון היה 4%.</t>
  </si>
  <si>
    <t xml:space="preserve">בחלוף שנתיים, שיעור התשואה לפדיון / ריבית השוק היה 6%. </t>
  </si>
  <si>
    <t>בחלוף 8 שנים (מההנפקה) - שיעור התשואה לפדיון היה 12%.</t>
  </si>
  <si>
    <t xml:space="preserve">התוכי הקטן מכר את האג״ח בחלוף 8 השנים הללו. </t>
  </si>
  <si>
    <t xml:space="preserve">הריבית הנקובה באג״ח היא ריבית שנתית בשיעור 5%. </t>
  </si>
  <si>
    <t>מהו שיעור התשואה לתקופת ההחזקה, אם האג״ח היא לתקופה כוללת של 20 שנה?</t>
  </si>
  <si>
    <t>מחיר הרכישה</t>
  </si>
  <si>
    <t>תמורת המכירה</t>
  </si>
  <si>
    <t>חילוץ התשואה</t>
  </si>
  <si>
    <t>שיעור התשואה השנתי</t>
  </si>
  <si>
    <t>של התוכי הקטן</t>
  </si>
  <si>
    <t>שלילי בשיעור 0.559%.</t>
  </si>
  <si>
    <t>תרגיל בנושא חישוב מחיר אג״ח - לפני ואחרי תשלום קופון</t>
  </si>
  <si>
    <t xml:space="preserve">קוקילידה שוקלת לרכוש אג״ח שערכה הנקוב 500 ש״ח. היא משלמת ריבית נקובה בשיעור 9% על בסיס שנתי. </t>
  </si>
  <si>
    <t xml:space="preserve">האג״ח תפרע בעוד 20 שנים. </t>
  </si>
  <si>
    <t>א. מהו מחיר האג״ח היום, אם ידוע ששיעור התשואה לפדיון הוא 12%?</t>
  </si>
  <si>
    <t>ב. מהו מחיר האג״ח בעוד שנתיים מהיום, רגע לאחר תשלום הקופון, אם ידוע ששיעור התשואה לפדיון הוא 14%?</t>
  </si>
  <si>
    <t>ג. מהו מחיר האג״ח בעוד 5 שנים מהיום, רגע לפני תשלום הקופון, אם ידוע ששיעור התשואה לפדיון הוא 8%?</t>
  </si>
  <si>
    <t>סעיף א</t>
  </si>
  <si>
    <t>סעיף ב</t>
  </si>
  <si>
    <t>סעיף ג</t>
  </si>
  <si>
    <t>מספר הקופונים</t>
  </si>
  <si>
    <t>שמוזן מדוייק</t>
  </si>
  <si>
    <t xml:space="preserve">כי הקופון </t>
  </si>
  <si>
    <t>האחרון כבר היה</t>
  </si>
  <si>
    <t>הקופונים</t>
  </si>
  <si>
    <t>כאן</t>
  </si>
  <si>
    <t>לא כולל</t>
  </si>
  <si>
    <t>את הקופון</t>
  </si>
  <si>
    <t>הנוסף</t>
  </si>
  <si>
    <t>שהוא מיידי</t>
  </si>
  <si>
    <t>בעוד רגע:</t>
  </si>
  <si>
    <t>שווי ללא הקופון המיידי</t>
  </si>
  <si>
    <t>קופון מיידי</t>
  </si>
  <si>
    <t xml:space="preserve">שווי כולל להיום </t>
  </si>
  <si>
    <t>גישה אחרת לחישוב שווי האג״ח אם אנו נמצאים רגע לפני הקופון הקרוב:</t>
  </si>
  <si>
    <t>לא ניתן להזין סתם כך קופון נוסף בתחשיב</t>
  </si>
  <si>
    <t>הואיל ובמצב כזה לא יינתן ביטוי להשפעת</t>
  </si>
  <si>
    <t xml:space="preserve">הזמן בגין העובדה שהקופון הקרוב - </t>
  </si>
  <si>
    <t>ממש קרוב</t>
  </si>
  <si>
    <t xml:space="preserve">התזרים הראשון מיידי. </t>
  </si>
  <si>
    <t>אבל החישוב לוקח ״אחת אחורה״</t>
  </si>
  <si>
    <t xml:space="preserve">כלומר לזמן 1-. </t>
  </si>
  <si>
    <t>לתקן קדימה:</t>
  </si>
  <si>
    <t xml:space="preserve">544.26 * (1 + 8%) = </t>
  </si>
  <si>
    <t>דרך שכן עובדת:</t>
  </si>
  <si>
    <t>מחשבים PV לכל התזרימים</t>
  </si>
  <si>
    <t>אבל מגלמים על כולו</t>
  </si>
  <si>
    <t>ריבית לתקופה אחת</t>
  </si>
  <si>
    <t>נוספת</t>
  </si>
  <si>
    <t>סיכום ביניים - סוגיות ליבה בחישובי שווי אג״ח וחילוצי תשואה:</t>
  </si>
  <si>
    <t xml:space="preserve">א. כדי לחלץ שיעור תשואה לתקופת ההשקעה, אחשב מחיר ברכישה, מחיר במכירה, ואבצע את החילוץ בהתחשב גם בקופונים בדרך. </t>
  </si>
  <si>
    <t xml:space="preserve">ב. כדי לחשב שווי אג״ח בכל נקודת זמן, אתבסס על מספר הקופונים שנותרו, סכומם, הערך הנקוב, והריבית העדכנית להיוון (שיעור תשואה לפדיון). </t>
  </si>
  <si>
    <t>ג. כאשר המטרה היא לחשב את שווי האג״ח מיד לאחר תשלום קופון מסוים יש 2 דרכים:</t>
  </si>
  <si>
    <t>דרך 1: לחשב את שווי האג״ח תוך התעלמות מוחלטת מהקופון הקרוב (להניח שהוא כבר שולם)</t>
  </si>
  <si>
    <t>ולאחר חישוב ה-PV להוסיף לערכו המוחלט את סכום הקופון.</t>
  </si>
  <si>
    <t xml:space="preserve">דרך 2: לחשב את שווי האג״ח תוך הכללת הקופון הנוסף (n גדול יותר ביחידה אחת) </t>
  </si>
  <si>
    <t xml:space="preserve">ואת ה-PV שמתקבל כתוצאה ״לדחוף״ קדימה ובכך לגלם עליו תקופת ריבית נוספת (מכפלה ב-1 ועוד הריבית). </t>
  </si>
  <si>
    <t>טיפים נוספים לתרגיל הגשה 3:</t>
  </si>
  <si>
    <t xml:space="preserve">שאלה 1 - חישוב תשואה שנתית במהלך תקופת החזקה / השקעה: דומה מאד לשתי השאלות הראשונות שפתרנו. </t>
  </si>
  <si>
    <t xml:space="preserve">ההבדל היחידי: במקום להשתמש במונח ״שיעור תשואה לפדיון״ משתמשים במונח ״הריבית במשק״. </t>
  </si>
  <si>
    <t>שאלה 2 - חישוב ״פשוט״ של מחיר אג״ח (לאחר תשלום ריבית). אין כלום.</t>
  </si>
  <si>
    <t>שאלה 3 - המחיר שבו כדאי לקנות אג״ח (PV) שנתיים לאחר ההנפקה, כאשר הריבית משולמת כל רבעון:</t>
  </si>
  <si>
    <t xml:space="preserve">ראו שאלה 2, תרגול 4. </t>
  </si>
  <si>
    <t xml:space="preserve">שאלה 4 - חישוב שווי אג״ח בשנים לא שלמות - ראו שאלה 3, תרגול 4. </t>
  </si>
  <si>
    <t>****</t>
  </si>
  <si>
    <t>גם כשפותרים בגישה מתמטית, עדיין התהליך הבסיסי בעינו עומד: מחשבים מחיר אג״ח היום, מחיר אג״ח</t>
  </si>
  <si>
    <t>במועד המכירה, ורק אז ניגשים לחילוץ.</t>
  </si>
  <si>
    <t>PMT = 8% * 800 = 64</t>
  </si>
  <si>
    <t>שווי אג״ח ברכישה:</t>
  </si>
  <si>
    <t>שווי אג״ח במכירה:</t>
  </si>
  <si>
    <t>חילוץ תשואה:</t>
  </si>
  <si>
    <t xml:space="preserve">ואז פותרים את המשוואה (או, אם מדובר בשאלה אמריקאית, אפשר להציב את אפשרויות המענה). </t>
  </si>
  <si>
    <r>
      <t xml:space="preserve">נספח </t>
    </r>
    <r>
      <rPr>
        <b/>
        <u/>
        <sz val="12"/>
        <color theme="1"/>
        <rFont val="David"/>
        <family val="2"/>
        <charset val="177"/>
      </rPr>
      <t>רשות</t>
    </r>
    <r>
      <rPr>
        <sz val="12"/>
        <color theme="1"/>
        <rFont val="David"/>
        <family val="2"/>
        <charset val="177"/>
      </rPr>
      <t xml:space="preserve"> - פתרון השאלה הראשונה בגישה מתמטית:</t>
    </r>
  </si>
  <si>
    <t xml:space="preserve">תרגול 5 - חישובי הצמדה - </t>
  </si>
  <si>
    <t>באופן כללי - אג״ח צמודה היא כזו שתזרימי המזומנים שהיא מניבה (קופונים וערך נקוב) ובהתאם גם שוויה</t>
  </si>
  <si>
    <t xml:space="preserve">משתנה בהתאם לאינפלציה. </t>
  </si>
  <si>
    <t xml:space="preserve">במועד ההנפקה, עדיין לא חלה עליית מדד / אינפלציה. חישוב מחיר האג״ח למעשה מתבסס על הגדלים המוגדרים באג״ח </t>
  </si>
  <si>
    <t xml:space="preserve">כלומר - קופון וערך נקוב, תוך התעלמות מוחלטת מאלמנט ההצמדה, שיקבל ביטוי בהמשך. </t>
  </si>
  <si>
    <t>הערך המחולץ - שווי האג״ח/מחירה במועד ההנפקה</t>
  </si>
  <si>
    <t>ריבית השוק העדכנית (הריאלית) למועד החישוב החדש-זהה</t>
  </si>
  <si>
    <t xml:space="preserve">7 * (1 + 54.44%) </t>
  </si>
  <si>
    <t>107 * (1 + 54.44%)</t>
  </si>
  <si>
    <t>100 * (1 + 54.44%)</t>
  </si>
  <si>
    <t>ערך נקוב עם אינפלציה כוללת</t>
  </si>
  <si>
    <t xml:space="preserve">שווי האג״ח לזמן 3, </t>
  </si>
  <si>
    <t>משום ש-PV לסדרה שמתחילה</t>
  </si>
  <si>
    <t>בזמן 4 תמיד מקפיץ ל-3</t>
  </si>
  <si>
    <t>מכפלה</t>
  </si>
  <si>
    <t>באחת</t>
  </si>
  <si>
    <t>ועוד ריבית</t>
  </si>
  <si>
    <t>לדחיפה</t>
  </si>
  <si>
    <t>מ-3 ל-4</t>
  </si>
  <si>
    <t xml:space="preserve">(1 + 7%)^3 * (1 + 8%) * (1 + 4%) - 1 = </t>
  </si>
  <si>
    <t xml:space="preserve">(1 + 2%)^56 - 1 = </t>
  </si>
  <si>
    <t>ג. מהו שיעור התשואה הריאלי/ריבית ריאלית בתקופה הרלוונטית?</t>
  </si>
  <si>
    <t>ד. מהו שיעור התשואה הריאלי / הריבית הריאלית במונחים שנתיים?</t>
  </si>
  <si>
    <t>אם בשאלה אין בכלל נתוני ריבית באחוזים אלא רק ערכים תזרימיים (כמה מקבלים וכמה משלמים):</t>
  </si>
  <si>
    <t>אינפלציה ל-4 שנים</t>
  </si>
  <si>
    <t>מטרתי לבטא אינפלציה לשנה 1 מתוך 4, לכן המעריך 1/4</t>
  </si>
  <si>
    <t xml:space="preserve">           שיעור אינפלציה כולל לכל 4 השנים</t>
  </si>
  <si>
    <t>האינפלציה השנתית</t>
  </si>
  <si>
    <t>לכל אחת מ-3 השנים הראשונות כנתון</t>
  </si>
  <si>
    <t>בחזקת 3 - כי 3 שנים</t>
  </si>
  <si>
    <t>לשנה</t>
  </si>
  <si>
    <t>ה-4</t>
  </si>
  <si>
    <t>שיש לחלץ</t>
  </si>
  <si>
    <t>מסקנה: האינפלציה בשנה ה-4</t>
  </si>
  <si>
    <t xml:space="preserve">היא 4.7621%. </t>
  </si>
  <si>
    <t>אופן החילוץ המתמטי, בהדרגה:</t>
  </si>
  <si>
    <t xml:space="preserve">. </t>
  </si>
  <si>
    <t>תרגול 7 - תרגילים לדוגמא ממבחנים בנושא אג״ח והצמדות</t>
  </si>
  <si>
    <t xml:space="preserve">מספר שאלות ממבחני דוגמא 1 ו-2 שהועלו / יועלו לאתר בהמשך. </t>
  </si>
  <si>
    <t>מספר תזרימי המזומנים שנותר לאג״ח לשלם בעתיד</t>
  </si>
  <si>
    <t>שיעור התשואה לפדיון (לעתים: ריבית השוק)</t>
  </si>
  <si>
    <t xml:space="preserve">באופן כללי - מחיר השוק של אגרת חוב לכל תאריך הוא ערך הנוכחי PV של תזרימי המזומנים שלה למועד החישוב. </t>
  </si>
  <si>
    <t>שווי האג״ח - הנדרש בסוף</t>
  </si>
  <si>
    <t>סכום הקופון התקופתי - המכפלה הפשוטה של הריבית הנקובה בערך הנקוב</t>
  </si>
  <si>
    <t xml:space="preserve">התשובה: 2. </t>
  </si>
  <si>
    <t xml:space="preserve">גם כאן - רוצים את שווי האג״ח - ערך נוכחי של תזרימי המזומנים העתידיים שנותרו לה. </t>
  </si>
  <si>
    <t>אלא שתזרימי המזומנים אינם שנתיים אלא רבעוניים.</t>
  </si>
  <si>
    <t xml:space="preserve">המשמעות: מספר תזרימי המזומנים n יהיה לפי מספר השנים כפול 4. </t>
  </si>
  <si>
    <t>הריבית ל-%I חייבת להיות שיעור תשואה לפדיון לרבעון. הוא נתון לשנה:</t>
  </si>
  <si>
    <t>המרה של שיעור תשואה לפדיון ממונחים שנתיים למונחים רבעוניים מבצעים תמיד עם מעריך חזקה:</t>
  </si>
  <si>
    <t xml:space="preserve">(1 + 10.381%)^(0.25) - 1 = </t>
  </si>
  <si>
    <t xml:space="preserve">גם הקופון או ה-PMT יישען על ריבית קופון רבעונית - הואיל וריבית הקופון שנתית, נדרש להמיר אותה. </t>
  </si>
  <si>
    <t>אלא שבשונה משיעור תשואה לפדיון - שמומר עם מעריך חזקה מתאים, המרת ריבית קופון היא ע״י חלוקה מתאימה</t>
  </si>
  <si>
    <t>בלבד - במקרה זה - חלוקה ב-4 כדי לעבור משנה לרבעון:</t>
  </si>
  <si>
    <t xml:space="preserve">10%/4 = </t>
  </si>
  <si>
    <t>בחישוב מחשבוני:</t>
  </si>
  <si>
    <r>
      <t xml:space="preserve">אם הריבית באג״ח זהה לשיעור התשואה לפדיון, הערך הנקוב זהה לשווי, ולכן שווי האג״ח כאן </t>
    </r>
    <r>
      <rPr>
        <b/>
        <sz val="12"/>
        <color theme="1"/>
        <rFont val="David"/>
        <family val="2"/>
        <charset val="177"/>
      </rPr>
      <t>100</t>
    </r>
    <r>
      <rPr>
        <sz val="12"/>
        <color theme="1"/>
        <rFont val="David"/>
        <family val="2"/>
        <charset val="177"/>
      </rPr>
      <t xml:space="preserve">. </t>
    </r>
  </si>
  <si>
    <t>לאג״ח נותרו עוד 15 שנות קיום, והתשלומים - 4 בשנה, כל רבעון</t>
  </si>
  <si>
    <t>תשואה רבעונית לפדיון (לתקופת תשלום) על בסיס הערך השנתי בחזקה</t>
  </si>
  <si>
    <t>לפי ריבית נקובה שנתית 12%, חלקי 4 (לרבעון) כפול ערך נקוב 100</t>
  </si>
  <si>
    <t>קיים קשר (משוואת פישר) בין 3 ערכים:</t>
  </si>
  <si>
    <t xml:space="preserve">ריבית נומינלית ״אפקטיבית״ / ״כוללת״ </t>
  </si>
  <si>
    <t>שיעור האינפלציה</t>
  </si>
  <si>
    <t>אם יודעים שניים</t>
  </si>
  <si>
    <t>מבין 3 הערכים</t>
  </si>
  <si>
    <t xml:space="preserve">את השלישי מחלצים בקלות </t>
  </si>
  <si>
    <t>נתחיל מהדיון בדבר הריבית הנומינלית ״האפקטיבית״. כאן יש מידע לכאורה בדבר ריבית נומינלית אבל היא נקובה,</t>
  </si>
  <si>
    <t xml:space="preserve">והיא מחושבת רבעונית. </t>
  </si>
  <si>
    <t>כאשר נתקלים בריבית נקובה המחושבת כל ____ זמן, הדרך להמיר ממונחים נקובים למונחים אפקטיביים עוברת</t>
  </si>
  <si>
    <t>דרך תהליך כפול של חלוקה וחזקה:</t>
  </si>
  <si>
    <t>בנוסחת ההמרה, המכנה הוא מספר תקופות חישוב הריבית בתקופה הנקובה.</t>
  </si>
  <si>
    <t xml:space="preserve">כאן: תקופת חישוב ריבית היא רבעון, ישנם 4 רבעונים בשנה (תקופה נקובה). </t>
  </si>
  <si>
    <t>לכן חילקתי ב-4.</t>
  </si>
  <si>
    <t>ואילו המעריך של החזקה הוא מספר תקופות חישוב הריבית בתקופה שאליה</t>
  </si>
  <si>
    <t xml:space="preserve">רוצים להגיע. </t>
  </si>
  <si>
    <t xml:space="preserve">כאן: רוצים לבטא ריבית לשנה, לכן גם במעריך זה 4. </t>
  </si>
  <si>
    <t>אבל חשוב לשים לב שאם היו רוצים להגיע לריבית אפקטיבית חצי שנתית,</t>
  </si>
  <si>
    <t xml:space="preserve">המעריך היה 2. </t>
  </si>
  <si>
    <t>ריבית נומינלית כוללת</t>
  </si>
  <si>
    <t>במונחים אפקטיביים:</t>
  </si>
  <si>
    <t xml:space="preserve">בנוסף, האינפלציה הצפויה היא: 15% (נתון). </t>
  </si>
  <si>
    <t>בהתאם למשוואת פישר מתקיים:</t>
  </si>
  <si>
    <t>שיעור תשואה ריאלי שנתי:</t>
  </si>
  <si>
    <t>התשובה: ד.</t>
  </si>
  <si>
    <t>חלצו את ה-PMT כיאה ללוח שפיצר.</t>
  </si>
  <si>
    <t xml:space="preserve">הצמידו אותו למדד על בסיס מכפלה ביחס שבין המדד הידוע העדכני (במועד התשלום ה-10) לבין המדד הידוע הבסיסי (במועד נטילת ההלוואה). </t>
  </si>
  <si>
    <t>ההלוואה ל-3 שנים, מסולקת בתשלומים חודשיים, לכן מס׳ התשלומים הכולל:</t>
  </si>
  <si>
    <t>הריבית השנתית הנתונה היא במונחים אפקטיביים, המרתה משנה לחודש עם חזקה</t>
  </si>
  <si>
    <t>סכום ההלוואה - נתון</t>
  </si>
  <si>
    <t>יתרה לסילוק בסיום ההלוואה</t>
  </si>
  <si>
    <t>סכום להחזר תקופתי קבוע (שפיצר) לפני הצמדה</t>
  </si>
  <si>
    <t>נצמיד את התוצאה לאינפלציה על בסיס מפכלה ביחס בין המדד העדכני למדד הבסיס ונקבל:</t>
  </si>
  <si>
    <t xml:space="preserve">624.15 * 118/112 = </t>
  </si>
  <si>
    <t xml:space="preserve">התשובה הסופית - תשובה א. </t>
  </si>
  <si>
    <t>בשאלה זו שתי נקודות מרכזיות: האחת היא שכאשר אומרים שהריבית משולמת בסוף כל רבעון - זה לא סותר את העובדה שהריבית מחושבת כל רבעון</t>
  </si>
  <si>
    <t xml:space="preserve">לכל דבר ועניין, והמרתה בהתאם. </t>
  </si>
  <si>
    <t>הנקודה השניה היא - האם ניתן לחשב ריבית שנתית בגין עסקה ל-9 חודשים? והתשובה: בהחלט כן! כשם שאפשר לחשב מחיר לליטר דלק גם אם קניתי חצי ליטר.</t>
  </si>
  <si>
    <t>התוצאה המתקבלת:</t>
  </si>
  <si>
    <t>r = 4.24%</t>
  </si>
  <si>
    <t xml:space="preserve">תרגול 8 - 8/1/2025 - קריטריונים להחלטות השקעה (כדאיות פרויקטים) </t>
  </si>
  <si>
    <t>שווי</t>
  </si>
  <si>
    <t>כספי</t>
  </si>
  <si>
    <t>של פרויקט</t>
  </si>
  <si>
    <t>שיעור</t>
  </si>
  <si>
    <t>התשואה</t>
  </si>
  <si>
    <t>התקופתי</t>
  </si>
  <si>
    <t>הממוצע</t>
  </si>
  <si>
    <t>בפרויקט</t>
  </si>
  <si>
    <t>באחוזים</t>
  </si>
  <si>
    <t>פרויקטים המוציאים</t>
  </si>
  <si>
    <t>זה את זה =</t>
  </si>
  <si>
    <t>ניתן לבצע לכל היותר</t>
  </si>
  <si>
    <t>אחד מביניהם</t>
  </si>
  <si>
    <t>כברירת מחדל:</t>
  </si>
  <si>
    <t xml:space="preserve">ההשקעה מיידית </t>
  </si>
  <si>
    <t>בזמן 0</t>
  </si>
  <si>
    <t xml:space="preserve">א. חשבו את שיעור התשואה הפנימי (השת״פ) של כל פרויקט. (שת״פ = IRR).  </t>
  </si>
  <si>
    <t>התשואה הנדרשת ע״י משקיעים</t>
  </si>
  <si>
    <t>&gt;&gt;&gt;&gt;&gt;&gt;&gt;&gt;</t>
  </si>
  <si>
    <t>CSh. D. Editor &gt;&gt;&gt; EXE &gt;&gt;&gt;&gt;&gt;</t>
  </si>
  <si>
    <t>&lt;&lt;&lt;&lt;&lt;&lt;</t>
  </si>
  <si>
    <t>Solve IRR(N) =</t>
  </si>
  <si>
    <t xml:space="preserve">Solve IRR(M) = </t>
  </si>
  <si>
    <t>נקניק (N)</t>
  </si>
  <si>
    <t>מחשב (M)</t>
  </si>
  <si>
    <t>בשונה מחילוץ IRR שלא דורש ידיעת מחיר ההון / תשואה אלטרנטיבית,</t>
  </si>
  <si>
    <t xml:space="preserve">לשם חישוב שווי הפרויקט NPV חובה לקבל ולהזין נתון זה. </t>
  </si>
  <si>
    <t>בסעיף ב של השאלה נתון שמחיר ההון 6%</t>
  </si>
  <si>
    <t>&gt;&gt;&gt;&gt;</t>
  </si>
  <si>
    <t xml:space="preserve">CSh. D. Editor &gt;&gt;&gt;&gt; </t>
  </si>
  <si>
    <t xml:space="preserve">N = </t>
  </si>
  <si>
    <t xml:space="preserve">M = </t>
  </si>
  <si>
    <t>שלב 2: חשבו את ה-IRR:</t>
  </si>
  <si>
    <t xml:space="preserve">IRR(N) = </t>
  </si>
  <si>
    <t xml:space="preserve">IRR(M) = </t>
  </si>
  <si>
    <t>שלב 3: רשמו את סכום ההשקעה:</t>
  </si>
  <si>
    <t xml:space="preserve">I(N) = </t>
  </si>
  <si>
    <t xml:space="preserve">I(M) = </t>
  </si>
  <si>
    <t>ענ״נ</t>
  </si>
  <si>
    <t>מחיר ההון</t>
  </si>
  <si>
    <t>נק׳ חיתוך עם ציר אופקי</t>
  </si>
  <si>
    <r>
      <t xml:space="preserve">שלב 1: סכמו את תזרימי כל פרויקט בנפרד או: הזן 0 = %I וחשב NPV = </t>
    </r>
    <r>
      <rPr>
        <b/>
        <sz val="12"/>
        <color theme="1"/>
        <rFont val="David"/>
        <family val="2"/>
        <charset val="177"/>
      </rPr>
      <t>נק׳ חיתוך עם ציר אנכי</t>
    </r>
    <r>
      <rPr>
        <sz val="12"/>
        <color theme="1"/>
        <rFont val="David"/>
        <family val="2"/>
        <charset val="177"/>
      </rPr>
      <t xml:space="preserve"> </t>
    </r>
  </si>
  <si>
    <t xml:space="preserve">כל הטריק בשאלה הזו קשור לפרויקט </t>
  </si>
  <si>
    <t>הנקניק הקר. בתרגילים קודמים, הצגנו</t>
  </si>
  <si>
    <t>פרויקטים ״רגילים״ (קונבנציונליים)</t>
  </si>
  <si>
    <t>של השקעות: אלו היו פרויקטים שבהם</t>
  </si>
  <si>
    <t>ישנה השקעה ראשונית (בסימן שלילי)</t>
  </si>
  <si>
    <t>שאחריה תזרימים חיוביים בלבד. כלומר</t>
  </si>
  <si>
    <t xml:space="preserve">התזרים משנה את סימנו פעם אחת בלבד. </t>
  </si>
  <si>
    <t>כאן: בפרויקט הנקניק הקר, ישנם שני</t>
  </si>
  <si>
    <t xml:space="preserve">היפוכי סימן של תזרימים. </t>
  </si>
  <si>
    <t>הואיל והנקניק החם הוא פרויקט קונבציונלי רגיל של השקעה, שכולל השקעה בזמן אפס בסימן שלילי</t>
  </si>
  <si>
    <t>ואחריה תזרימים חיוביים בלבד, ניתן לחלץ את ה-IRR בקלות במחשבון הפיננסי / CASH:</t>
  </si>
  <si>
    <t xml:space="preserve">&gt;&gt;&gt; Solve IRR = </t>
  </si>
  <si>
    <t>נקניק קר:</t>
  </si>
  <si>
    <t>תזרימי המזומנים של פרויקט זה משנים את סימנם (ממינוס לפלוס או להפך) יותר מפעם אחת. במקרה כזה, לא ניתן</t>
  </si>
  <si>
    <t xml:space="preserve">להגיע לערכי השת״פים הרלוונטיים באמצעות המחשבון הפיננסי. יש לפתור באופן מתמטי. </t>
  </si>
  <si>
    <t xml:space="preserve">ההגדרה המתמטית של השת״פ (IRR) היא: מחיר ההון שמוביל לאיפוס ה-NPV. </t>
  </si>
  <si>
    <t xml:space="preserve">וזה אומר שצריך לבנות את משוואת ה-NPV המתמטית, להציב בגורם ההיוון (ריבית להיוון) את ה-IRR, </t>
  </si>
  <si>
    <t>ולהשוות לאפס:</t>
  </si>
  <si>
    <t>הנוסחה בדף הנוסחאות היא:</t>
  </si>
  <si>
    <t xml:space="preserve">במלים: ההשקעה בסימן שלילי, ואחריה - כל אחד מתזרימי המזומנים לאחר מכן, </t>
  </si>
  <si>
    <t xml:space="preserve">מחולק ב-1 ועוד IRR בחזקת עיתויו ואת כל זה משווים ל-0. </t>
  </si>
  <si>
    <t xml:space="preserve">אפשר לסמן </t>
  </si>
  <si>
    <t>את המשוואה הריבועית במחשבון המדעי</t>
  </si>
  <si>
    <t>ניתן לפתור על ידי:</t>
  </si>
  <si>
    <t>Mode, 5, 3</t>
  </si>
  <si>
    <t>ואז הוא מקפיץ a, b, c שבתוכם מזינים.</t>
  </si>
  <si>
    <t xml:space="preserve">Solve NPV (נקניק חם) = </t>
  </si>
  <si>
    <t xml:space="preserve">Solve NPV (נקניק קר) = </t>
  </si>
  <si>
    <t>קודם אכלנו לקרדה</t>
  </si>
  <si>
    <t>כי נדרשנו לחשב IRR</t>
  </si>
  <si>
    <t xml:space="preserve">לפרויקט לא קונבנציונלי - </t>
  </si>
  <si>
    <t>נקניק קר.</t>
  </si>
  <si>
    <t>למזלנו, כשמדובר בחישוב NPV</t>
  </si>
  <si>
    <t>אין שום בעיה להפעילו</t>
  </si>
  <si>
    <t>על כל סוג פרויקט</t>
  </si>
  <si>
    <t>כדאי</t>
  </si>
  <si>
    <t>לא כדאי</t>
  </si>
  <si>
    <t>כאן התחלנו את תרגול 15.1.2025 - בנושא תזרימי מזומנים</t>
  </si>
  <si>
    <t xml:space="preserve">ג. עלויות ניקוי שאריות פופיקים מהמכונה שמשולמות בתום כל שנה הן 15,000 ש״ח. </t>
  </si>
  <si>
    <t>תום שנה שנייה - אין תזרים למשקיע הרוכש</t>
  </si>
  <si>
    <t>תום שנה שלישית - המשקיע יקבל</t>
  </si>
  <si>
    <t>תום שנה רביעית - המשקיע יקבל</t>
  </si>
  <si>
    <t>ב. הפרויקט דורש השקעה בקרקע בסך 500,000 ש״ח. הניחו ששווי הקרקע קבוע.</t>
  </si>
  <si>
    <t>התאמה - השקעות - במכונה</t>
  </si>
  <si>
    <r>
      <t xml:space="preserve">התאמה - החזר פחת - מכונה </t>
    </r>
    <r>
      <rPr>
        <sz val="9"/>
        <rFont val="David"/>
        <family val="2"/>
        <charset val="177"/>
      </rPr>
      <t>(על קרקע אין פחת)</t>
    </r>
  </si>
  <si>
    <t>הוצאות פחת (לא תזרימי) - מכונה בלבד</t>
  </si>
  <si>
    <t>הואיל והענ״נ (NPV) שלילי, הפרויקט לא כדאי</t>
  </si>
  <si>
    <t xml:space="preserve">ה. מחיר ההון של החברה 11% לשנה. </t>
  </si>
  <si>
    <t>מחיר ההון - נתון (ה) מפורש בשאלה</t>
  </si>
  <si>
    <t>הסבר מפורט מורחב לגבי התמורה נטו ממכירת השקעה בתום הפרויקט לאחר מס</t>
  </si>
  <si>
    <t>כדי שיהיה לכם כיף ללמוד למבחן</t>
  </si>
  <si>
    <t>סידרתי לכם את התמונה של הקמע של הקורס: אלפרד</t>
  </si>
  <si>
    <t>שאלה</t>
  </si>
  <si>
    <t>בניית תזרימי מזומנים להשקעות (בטבלה)</t>
  </si>
  <si>
    <t>בחירה בין חלופות רכישה של פריט - חישוב PV של כל חלופה ובחירה בנמוך</t>
  </si>
  <si>
    <t>בחירה בין חלופות הלוואה - כשכל נתוני הריבית באחוזים / נקובה / מראש: חישוב ריבית אפקטיבית בכל חלופה ובחירה בנמוכה</t>
  </si>
  <si>
    <t>שווי מבצע - שמתיר לשלם באופן מסוים במקום באופן אחר - יש לחשב את הפרש ה-PV בין חלופות התשלום</t>
  </si>
  <si>
    <t>פרויקטים שתזרימיהם נתונים - חילוץ מחיר הון שמוביל לשוויון בין החלופות (הפרשי) פינה</t>
  </si>
  <si>
    <t>חישוב מחיר אג״ח (רגילה / לא צמודה)</t>
  </si>
  <si>
    <t>פרויקט עם אינסוף תזרימי מזומנים עם מדד רווחיות PI נתון, ורוצים לחלץ את מחיר ההון</t>
  </si>
  <si>
    <t>הלוואת שפיצר - חילוץ PMT תשלום תקופתי, והצמדתו ע״י מכפלה במדד העדכני חלקי המדד הבסיסי</t>
  </si>
  <si>
    <t>חילוץ שת״פ בפרויקט לאינסוף</t>
  </si>
  <si>
    <t>דני מפקיד ולאחר מכן מבצע סדרת משיכות - שאלה המשלבת בין FV ל-PV איזון אקטוארי</t>
  </si>
  <si>
    <t>שאלת פינה בנושא חישוב ענ״נ לאחר שינוי בתקופת ההפחתה</t>
  </si>
  <si>
    <t>חילוץ סכום ה-PMT כאשר סכום ההפקדה היום PV נתון</t>
  </si>
  <si>
    <t>פינה - הצמדה חלקית של סכומים</t>
  </si>
  <si>
    <t>חישוב תזרימי פרויקט בעולם עם מסים וחילוץ NPV ו-IRR</t>
  </si>
  <si>
    <t>פינה - הצמדה חלקית של תזרימי מזומנים בפרויקט</t>
  </si>
  <si>
    <t>בשונה משאלות סטנדרטיות של פרויקטים שבהם אנו בונים בטבלה את תזרימי המזומנים המלאים</t>
  </si>
  <si>
    <t>הווי אומר - הכנסות, הוצאות, רווח לפני מס, מסים, החזר פחת... כאן - הענ״נ נתון, אין נתונים</t>
  </si>
  <si>
    <t>מפורטים על הכנסות והוצאות, ואני צריך למצוא את השינוי בענ״נ כתוצאה משינוי בתקופת</t>
  </si>
  <si>
    <t>ההפחתה והון חוזר.</t>
  </si>
  <si>
    <t xml:space="preserve">בואו ניצור מיני טבלה שמה שייכלל בה אלו הן ההשפעות של השינויים הנתונים בה. </t>
  </si>
  <si>
    <t>הוצאות פחת - שנרשמו</t>
  </si>
  <si>
    <t>הוצאות הפחת - מעודכנות</t>
  </si>
  <si>
    <t>תיקוני הוצאות הפחת המתבקשים</t>
  </si>
  <si>
    <t>שיעור המס - נתון</t>
  </si>
  <si>
    <t xml:space="preserve">עלייה / ירידה בזיכוי המס </t>
  </si>
  <si>
    <t xml:space="preserve">הפרש - פחת: מעודכן פחות מה שנרשם </t>
  </si>
  <si>
    <t>תיקון הנובע מהשקעה בהון חוזר (*)</t>
  </si>
  <si>
    <t>מה זה אומר השקעה בהון חוזר?</t>
  </si>
  <si>
    <t>השקעה בהון חוזר היא השקעה במלאי, באשראי לקוחות ופריטים דומים שאמורה לחזור לחברה בשלב מסוים / בסיום הפרויקט.</t>
  </si>
  <si>
    <t>כברירת מחדל, אם ציינו בשאלה השקעה בהון חוזר בתחילת הפרויקט, וזה הכל - ההנחה היא שכל מה שנצטרך לעשות זה להתייחס להשקעה זו</t>
  </si>
  <si>
    <t xml:space="preserve">כתזרים שלילי בזמן 0 ולקבלתה חזרה כתזרים חיובי בתום הפרויקט (כאן - בתום 10). </t>
  </si>
  <si>
    <t xml:space="preserve">כאן - סכום ההשקעה בהון חוזר נתון. </t>
  </si>
  <si>
    <r>
      <t xml:space="preserve">לגבי השפעות המס: </t>
    </r>
    <r>
      <rPr>
        <b/>
        <sz val="12"/>
        <color theme="1"/>
        <rFont val="David"/>
        <family val="2"/>
        <charset val="177"/>
      </rPr>
      <t xml:space="preserve">אין השפעות מס על הון חוזר. </t>
    </r>
  </si>
  <si>
    <t>סך השינויים ביחס למצב המוצא (צהובים)</t>
  </si>
  <si>
    <t xml:space="preserve">לאחר שסך השינוי בתזרימים בידי (בירוק) פשוט אזין אותם ב-CASH, אדאג ל-%I שכולל את מחיר ההון העדכני - אחשב NPV שייצג את השינוי ב-NPV. </t>
  </si>
  <si>
    <t>השינוי ב-NPV בתוספת ה-NPV המקורי לפני השינוי (שנתון בשאלה) = התשובה (NPV עדכני):</t>
  </si>
  <si>
    <t>מחיר ההון בשאלה נתון - 6%</t>
  </si>
  <si>
    <t>Csh. D.Editor &gt;&gt;&gt;&gt;EXE&gt;&gt;&gt;&gt;&gt;&gt;</t>
  </si>
  <si>
    <t xml:space="preserve">&gt;&gt;&gt; Solve   </t>
  </si>
  <si>
    <t>ענ״נ מקורי נתון:</t>
  </si>
  <si>
    <t>השינוי בענ״נ:</t>
  </si>
  <si>
    <t>ענ״נ עדכני - לאחר שינוי:</t>
  </si>
  <si>
    <t xml:space="preserve">1,100 - 80.37 = </t>
  </si>
  <si>
    <t>בזמן 0: הפער בתזרימים נובע רק מההשקעה בהון החוזר</t>
  </si>
  <si>
    <t xml:space="preserve">בזמן 1 עד 4 כולל: הפער בתזרימים נובע רק מהפרשי הפחת
</t>
  </si>
  <si>
    <t xml:space="preserve">בזמן 5 עד 9: הפער נובע מכך שלא יוכר יותר פחת
בהשוואה למצב המקורי:
</t>
  </si>
  <si>
    <t>גם השפעה שלילית של 40- בגין הפרשי פחת, וגם השפעה חיובית של 300 = קבלה חזרה של ההון החוזר</t>
  </si>
  <si>
    <t>כששואלים אותי על בחירה בין כמה אפשרויות לתשלום / תשלומים בעד מוצר, הדרך הנוחה ביותר לבחור היא על בסיס</t>
  </si>
  <si>
    <t xml:space="preserve">חישוב הערך הנוכחי של התשלומים בכל חלופה. הערך הנוכחי הזה (PV) למעשה משקף את המחיר בכל מסלול במונחי מזומן מיידי. </t>
  </si>
  <si>
    <t>נעדיף את החלופה שממזערת את הPV של התשלומים.</t>
  </si>
  <si>
    <t xml:space="preserve">חלופה א = בכל חלופה שבה ״משלמים במזומן״ הכוונה היא - משלמים היום. לכן סכום התשלום בחלופה הוא ה-PV. </t>
  </si>
  <si>
    <t xml:space="preserve">חלופה ב = החלופה כוללת סדרת תזרימי מזומנים קבועים, שניתן לחשב את ערכה הנוכחי באמצעות CMPD. </t>
  </si>
  <si>
    <t xml:space="preserve">טיפ: ה-CMPD לא יודע לטפל ולגלם בתוך ה-PV תשלום חד פעמי בהווה ששונה מיתר התשלומים בסדרה. </t>
  </si>
  <si>
    <t>לכן, מחשבים PV של הסדרה בלבד, ומוסיפים לו (הליך ידני נועז) את הסכום הנוסף במזומן:</t>
  </si>
  <si>
    <t xml:space="preserve">+ 600 = </t>
  </si>
  <si>
    <t>סה״כ ערך נוכחי חלופה ב:</t>
  </si>
  <si>
    <t>חלופה ג = אותו דבר, רק עם שינוי של סכום התשלום התקופתי ושינוי של התשלום המיידי בזמן 0:</t>
  </si>
  <si>
    <t xml:space="preserve">+ 1,000 = </t>
  </si>
  <si>
    <t>סה״כ ערך נוכחי חלופה ג:</t>
  </si>
  <si>
    <t xml:space="preserve">הואיל ובכל החלופות הערך הנוכחי של התשלומים העתידיים זהה, קיימת שקילות מבחינה כלכלית בין החלופות. </t>
  </si>
  <si>
    <t xml:space="preserve">זיהוי השאלה: בחירה בין חלופות. </t>
  </si>
  <si>
    <t>שהיא לגבי הלוואה.</t>
  </si>
  <si>
    <t xml:space="preserve">אין נתונים תזרימיים (כספיים) כלל - אלא רק נתוני ריבית באחוזים. </t>
  </si>
  <si>
    <t>כלי הפתרון:</t>
  </si>
  <si>
    <t xml:space="preserve">חישוב ריבית אפקטיבית באחוזים, ובחירה בחלופה הדורשת את שיעור הריבית הנמוך ביותר (הלוואה). </t>
  </si>
  <si>
    <t>טיפ(*):</t>
  </si>
  <si>
    <t>אילו היה מדובר בהשקעה בפקדון, התהליך הבסיסי זהה, אך בסופו היינו בוחרים בחלופה שבה הריבית האפקטיבית היא המירבית.</t>
  </si>
  <si>
    <t>א. ריבית שנתית נקובה של 20% מחושבת כל רבעון</t>
  </si>
  <si>
    <t>כאשר הריבית הנתונה נקובה &gt;&gt;&gt; וגם ״מחושבת כל״ &gt;&gt;&gt;&gt; ריבית נקובה המחושבת כריבית דריבית:</t>
  </si>
  <si>
    <t>תקופה
נקובה</t>
  </si>
  <si>
    <t>תקופה
נדרשת</t>
  </si>
  <si>
    <t>תקופת
חישוב</t>
  </si>
  <si>
    <t>רבעון</t>
  </si>
  <si>
    <t>ג. ריבית שנתית נקובה של 19% מחושבת יומית</t>
  </si>
  <si>
    <t>ב. ריבית מראש בשיעור 18%</t>
  </si>
  <si>
    <t>כאשר הריבית היא מראש, היא למעשה מנוכה מהסכום שמקבלים כהלוואה, במקום להתווסף לסכום שמשלמים בסוף.</t>
  </si>
  <si>
    <t>על כל שקל הלוואה שנטלתי</t>
  </si>
  <si>
    <t>אני משלם מיד ריבית 18%</t>
  </si>
  <si>
    <t>קרן ״נטו״ שעומדת לרשותי</t>
  </si>
  <si>
    <t>בנוסחה ממודלת:</t>
  </si>
  <si>
    <t>ד. ריבית ריאלית שנתית 18% כאשר ציפיות האינפלציה השנתית 3%</t>
  </si>
  <si>
    <t>כל הריביות האפקטיביות שחושבו לעיל במצבים השונים - הן למעשה ריביות ״כוללות״ או ״נומינליות״.</t>
  </si>
  <si>
    <t xml:space="preserve">כאן, דנים בריבית ריאלית, כשהכוונה היא לריבית צמודה: ריבית שפרט אליה נקבל גם את האינפלציה (הצמדה למדד). </t>
  </si>
  <si>
    <t>כדי לחשב את הריבית הכוללת על בסיס הריבית הריאלית נשתמש במשוואת פישר:</t>
  </si>
  <si>
    <t>הריבית הנומינלית / הכוללת</t>
  </si>
  <si>
    <t>שתהווה את הבסיס להשוואה לחלופות האחרות</t>
  </si>
  <si>
    <t xml:space="preserve">Rn = </t>
  </si>
  <si>
    <t>סיכום הממצאים והכרעה:</t>
  </si>
  <si>
    <t>חלופה</t>
  </si>
  <si>
    <t>הזולה ביותר - הנבחרת</t>
  </si>
  <si>
    <t>כשמציעים לנו לשלם בהסדר תשלומים מסוים, ולפתע מציעים הסדר אחר - השווי הנובע מכך הוא למעשה ההוזלה</t>
  </si>
  <si>
    <t xml:space="preserve">שנוצרת בעקבות המעבר להסדר החדש. כשאנו אומרים ״הוזלה״ = ההפרש בין הערך הנוכחי של ההסדר הישן </t>
  </si>
  <si>
    <t xml:space="preserve">אל מול השווי (PV) של ההסדר החדש. </t>
  </si>
  <si>
    <t>הסדר ישן</t>
  </si>
  <si>
    <t>הסדר חדש</t>
  </si>
  <si>
    <t>על פי הנוסחה:</t>
  </si>
  <si>
    <t>שווי המבצע / ההטבה - החסכון הנובע מהמעבר להסדר החדש:</t>
  </si>
  <si>
    <t xml:space="preserve">7,876.05 - 7,247.23 = </t>
  </si>
  <si>
    <t>התשובה!</t>
  </si>
  <si>
    <t xml:space="preserve">אם בשאלה שבה מופיעים נתונים לגבי שני פרויקטים כל מה שצריך כדי לקבוע מהו מחיר ההון שבו הפרויקטים </t>
  </si>
  <si>
    <r>
      <t>שקולים זה לזה - הוא ״</t>
    </r>
    <r>
      <rPr>
        <b/>
        <sz val="12"/>
        <color theme="1"/>
        <rFont val="David"/>
        <family val="2"/>
        <charset val="177"/>
      </rPr>
      <t>גישת הפרויקט ההפרשי</t>
    </r>
    <r>
      <rPr>
        <sz val="12"/>
        <color theme="1"/>
        <rFont val="David"/>
        <family val="2"/>
        <charset val="177"/>
      </rPr>
      <t>״:</t>
    </r>
  </si>
  <si>
    <t>לוקחים את תזרימי שני הפרויקטים.</t>
  </si>
  <si>
    <t xml:space="preserve">מחשבים את התזרים ההפרשי - ההפרש הפשוט בין תזרימי הפרויקטים. </t>
  </si>
  <si>
    <t>מחלצים את ה-IRR של התזרים ההפרשי כאמור.</t>
  </si>
  <si>
    <t>התוצאה (ה-IRR של ההפרש) היא בהגדרה מחיר ההון שמוביל לזהות בין הפרויקטים.</t>
  </si>
  <si>
    <t>ההפרש</t>
  </si>
  <si>
    <t>הגדול פחות הקטן</t>
  </si>
  <si>
    <t>נלך ל-CASH ונחלץ IRR על התזרים ההפרשי בלבד:</t>
  </si>
  <si>
    <t>I% = מעניין ת׳תחת</t>
  </si>
  <si>
    <t>כאשר כל מטרתנו היא לחלץ IRR, אין כל צורך להזין %I</t>
  </si>
  <si>
    <t>Csh. D.Editor &gt;&gt;&gt;&gt;&gt;&gt;&gt;&gt;&gt;&gt;&gt;&gt;&gt;&gt;&gt;&gt;&gt;</t>
  </si>
  <si>
    <t xml:space="preserve">הדרך המהירה והקצרה לחלץ את מחיר ההון שמוביל לאדישות בין שני פרויקטים היא ה-IRR על התזרים ההפרשי. </t>
  </si>
  <si>
    <t>התשובה ג:</t>
  </si>
  <si>
    <t>שאלה 6 - אג״ח</t>
  </si>
  <si>
    <t>שאלה לגבי אגרת חוב, ברוך  השם - ללא נתוני הצמדה - שכל מה שרוצים זה לדעת את מחירה, היא חישוב CMPD פשוט</t>
  </si>
  <si>
    <t>והערכת ה-PV (שווי האג״ח היום) לפי ההגדרות המתאימות לתזרימי האג״ח:</t>
  </si>
  <si>
    <t>מספר תזרימי המזומנים (הקופונים) שנותרו לאג״ח לבצע - במשך 15 שנה, 4 פעמים בשנה</t>
  </si>
  <si>
    <t>שיעור התשואה לפדיון (לעתים נקרא ריבית השוק) מתואם באמצעות חזקה לפרק הזמן בין תשלומים</t>
  </si>
  <si>
    <r>
      <rPr>
        <sz val="12"/>
        <color theme="0"/>
        <rFont val="David"/>
        <family val="2"/>
        <charset val="177"/>
      </rPr>
      <t>,</t>
    </r>
    <r>
      <rPr>
        <sz val="12"/>
        <color theme="1"/>
        <rFont val="David"/>
        <family val="2"/>
        <charset val="177"/>
      </rPr>
      <t>=((1+15%)^(1/4)-1)*100</t>
    </r>
  </si>
  <si>
    <t>סכום הקופון הוא המכפלה הפשוטה של הריבית הנקובה היחסית בערך הנקוב</t>
  </si>
  <si>
    <r>
      <rPr>
        <sz val="12"/>
        <color theme="0"/>
        <rFont val="David"/>
        <family val="2"/>
        <charset val="177"/>
      </rPr>
      <t>,</t>
    </r>
    <r>
      <rPr>
        <sz val="12"/>
        <color theme="1"/>
        <rFont val="David"/>
        <family val="2"/>
        <charset val="177"/>
      </rPr>
      <t>=12%/4*100</t>
    </r>
  </si>
  <si>
    <t>הערך הנקוב של האג״ח - תזרים מזומנים חד פעמי בסיום האג״ח</t>
  </si>
  <si>
    <r>
      <t xml:space="preserve">התוצאה - הערך המוחלט שלה הוא שווי / מחיר האג״ח - </t>
    </r>
    <r>
      <rPr>
        <b/>
        <sz val="12"/>
        <color theme="1"/>
        <rFont val="David"/>
        <family val="2"/>
        <charset val="177"/>
      </rPr>
      <t>תשובה א</t>
    </r>
    <r>
      <rPr>
        <sz val="12"/>
        <color theme="1"/>
        <rFont val="David"/>
        <family val="2"/>
        <charset val="177"/>
      </rPr>
      <t xml:space="preserve">. </t>
    </r>
  </si>
  <si>
    <t>כאשר אני מזהה לוח סילוקין שפיצר - הדבר הראשון שאני עושה זה לחשב את ה-PMT שלו, תוך התעלמות מוחלטת</t>
  </si>
  <si>
    <t xml:space="preserve">מהצמדות. </t>
  </si>
  <si>
    <t xml:space="preserve">בדרך זו אוכל לחלץ את התשלום התקופתי שלו, וגם אוכל להשתמש ב-AMRT כדי לבודד ערכים ספציפיים בלוח. </t>
  </si>
  <si>
    <t>הערכים שעדיין לא מגלמים הצמדה נקראים ערכים ״ריאליים״ וכל מה שנצטרך לעשות כדי להגיע לתשלום הכולל</t>
  </si>
  <si>
    <t xml:space="preserve">המבוקש - זה להצמיד אותם (לכפול ביחס בין המדד העדכני למדד ההיסטורי / הבסיסי). </t>
  </si>
  <si>
    <t>שלב 1 - שימוש ב-CMPD לחילוץ ה-PMT ״כאילו אין הצמדות בעולם״</t>
  </si>
  <si>
    <t>בהלוואות שפיצר - מוגדר כמספר התשלומים בהלוואה</t>
  </si>
  <si>
    <t>תשלומים חודשיים במשך 3 שנים, 36 = 12 * 3</t>
  </si>
  <si>
    <t>התשלומים חודשיים - אני רוצה ריבית חודשית</t>
  </si>
  <si>
    <r>
      <rPr>
        <sz val="12"/>
        <color theme="0"/>
        <rFont val="David"/>
        <family val="2"/>
        <charset val="177"/>
      </rPr>
      <t>,</t>
    </r>
    <r>
      <rPr>
        <sz val="12"/>
        <color theme="1"/>
        <rFont val="David"/>
        <family val="2"/>
        <charset val="177"/>
      </rPr>
      <t>=((1+8%)^(1/12)-1)*100</t>
    </r>
  </si>
  <si>
    <t>סכום ההלוואה</t>
  </si>
  <si>
    <t>Solve:</t>
  </si>
  <si>
    <t>התשלום התקופתי הקבוע - לפני / בהתעלם מההצמדות (ריאלי):</t>
  </si>
  <si>
    <t>שלב 2 - מכפלת ה-PMT ביחס בין המדד העדכני למדד הבסיס - כדי לבטא את הסכום הצמוד</t>
  </si>
  <si>
    <t>PMT(Zamud) = PMT(Real) * (Madad Adkani)/(Madad Basis)</t>
  </si>
  <si>
    <t xml:space="preserve">PMT(Zamud) = 624.15 * 118/112 = </t>
  </si>
  <si>
    <t xml:space="preserve">התשובה: א. </t>
  </si>
  <si>
    <t xml:space="preserve">מדובר בשאלה כמעט זהה לשאלה 1 במבחן זה, אשר פתרנו בתרגול הקודם ופתרונה המלא לעיל. </t>
  </si>
  <si>
    <t xml:space="preserve">ההבדל היחידי הוא שבעוד שבשאלה 1 היתה גם התייחסות להון חוזר - כאן - אין כזו. </t>
  </si>
  <si>
    <t>Cash:</t>
  </si>
  <si>
    <t>סך השינוי בענ״נ על בסיס הפרשי פחת:</t>
  </si>
  <si>
    <t>ענ״נ מקורי:</t>
  </si>
  <si>
    <r>
      <t xml:space="preserve">ענ״נ חדש - סופי - </t>
    </r>
    <r>
      <rPr>
        <b/>
        <sz val="12"/>
        <color theme="1"/>
        <rFont val="David"/>
        <family val="2"/>
        <charset val="177"/>
      </rPr>
      <t>תשובה א.</t>
    </r>
    <r>
      <rPr>
        <sz val="12"/>
        <color theme="1"/>
        <rFont val="David"/>
        <family val="2"/>
        <charset val="177"/>
      </rPr>
      <t xml:space="preserve"> </t>
    </r>
  </si>
  <si>
    <t xml:space="preserve">שאלה 8 </t>
  </si>
  <si>
    <t xml:space="preserve">התאמה - החזר פחת </t>
  </si>
  <si>
    <t xml:space="preserve">במקום לתת לי הכנסות בנפרד והוצאות בנפרד, </t>
  </si>
  <si>
    <t>נתנו לי את הרווח התפעולי לפני פחת, שהוא ההפרש ביניהם.</t>
  </si>
  <si>
    <t>כאשר הפחת באחוזים שונים בכל שנה - נתבסס על עלות הפריט</t>
  </si>
  <si>
    <t>בניכוי ערך הגרט שלו אם יש (כאן - אין) כפול שיעור הפחת השנתי</t>
  </si>
  <si>
    <t>הספציפי.</t>
  </si>
  <si>
    <t>מסים על ההכנסה לפי 35%</t>
  </si>
  <si>
    <t>חישוב ה- NPV יתבסס על CASH כדלקמן:</t>
  </si>
  <si>
    <t>נתון</t>
  </si>
  <si>
    <t xml:space="preserve">NPV </t>
  </si>
  <si>
    <r>
      <t xml:space="preserve">התאמה תזרים השקעות </t>
    </r>
    <r>
      <rPr>
        <sz val="8"/>
        <rFont val="David"/>
        <family val="2"/>
        <charset val="177"/>
      </rPr>
      <t>- במכונה</t>
    </r>
  </si>
  <si>
    <t>טענה א נכונה</t>
  </si>
  <si>
    <t>כדי לבחון נכונות טענה ב, על אותם תזרימים נבצע</t>
  </si>
  <si>
    <t xml:space="preserve">IRR </t>
  </si>
  <si>
    <t>לכן רק טענה א נכונה.</t>
  </si>
  <si>
    <t xml:space="preserve">שאלה 9 </t>
  </si>
  <si>
    <t>לריבית אפקטיבית שנתית.</t>
  </si>
  <si>
    <t>המדובר במקרה קלאסי של המרת ריבית נקובה המחושבת מספר פעמים (ריבית דריבית, מחושבת כל רבעון)</t>
  </si>
  <si>
    <t>הנוסחה הזו למעשה מורכבת משני אתגרים:</t>
  </si>
  <si>
    <t>זיהוי המכנה: מספר תקופות חישוב הריבית בתקופה הנקובה.</t>
  </si>
  <si>
    <t xml:space="preserve">כאן - הריבית הנקובה שנתית. תקופת החישוב: רבעון. כמה תקופות חישוב (כמה רבעונים) יש בשנה? 4. לכן זה המכנה. </t>
  </si>
  <si>
    <t xml:space="preserve">זיהוי המעריך: מספר תקופות חישוב הריבית בתקופה הנדרשת (בתקופת הריבית האפקטיבית). </t>
  </si>
  <si>
    <t>כאן - הריבית האפקטיבית הנדרשת שנתית. כמה תקופות חישוב ריבית (רבעונים) יש בשנה? 4. לכן הפעם זה גם המעריך.</t>
  </si>
  <si>
    <t>עצם העובדה שההלוואה ל-9 חודשים בלבד איננה מונעת מאיתנו למלא את הדרישה המפורשת של חישוב ריבית אפקטיבית לשנה שלמה.</t>
  </si>
  <si>
    <t xml:space="preserve">תשובה ב. </t>
  </si>
  <si>
    <t>4.5 Months</t>
  </si>
  <si>
    <t>כאשר מחלצים ריבית משני תזרימים באמצעות מחשבון פיננסי,</t>
  </si>
  <si>
    <t>אחד מהם (לא משנה מי) חייב להיות מוזן בסימן שלילי והאחר</t>
  </si>
  <si>
    <t>בסימן חיובי, אחרת Solve I יעניק Error</t>
  </si>
  <si>
    <t>6.5 Months</t>
  </si>
  <si>
    <t>כעת, כדי לגלגל את הסכום ״עוד קדימה״ מזמן 5.5 לזמן 12, ניקח את הריבית החודשית הזו ונשתמש בה לצבירה 6.5 חודשים נוספים:</t>
  </si>
  <si>
    <t xml:space="preserve">התשובה הסופית - סך הצבירה לתום החודש ה-12. </t>
  </si>
  <si>
    <t>תשובה ב</t>
  </si>
  <si>
    <t xml:space="preserve">אנחנו מכירים שאת ה-IRR מחלצים בדרך כלל על ידי הזנת כלל התזרימים ב-CASH. </t>
  </si>
  <si>
    <t xml:space="preserve">אלא, שכאשר התזרימים אינסופיים - זה כמובן לא עובד. </t>
  </si>
  <si>
    <t>מה שכן אפשר לעשות זה חישוב מתמטי, או קירוב מספק במחשבון. אנחנו נעבוד על הקירוב המספק במחשבון.</t>
  </si>
  <si>
    <t>שאלה 12 - אם אני נתקל בצורך לחשב IRR בעסקה לאינסוף</t>
  </si>
  <si>
    <t>הכי קרוב לאינסוף שאני יודע בתור מטומטם</t>
  </si>
  <si>
    <t>חילוץ הכי קרוב ל-IRR</t>
  </si>
  <si>
    <t>סכום ההשקעה, בסימן שלילי</t>
  </si>
  <si>
    <t>התזרים התקופתי הנצחי הקבוע</t>
  </si>
  <si>
    <t>זהו ה-IRR לפרק הזמן בין תשלומים בעסקה.</t>
  </si>
  <si>
    <t xml:space="preserve">כאן: התשלומים הם כל 7 חודשים, </t>
  </si>
  <si>
    <t>ולכן קיבלתי IRR סרחה ל-7 חודשים</t>
  </si>
  <si>
    <t>אני רוצה IRR לשנה, ולכן עליי לבצע התאמה לגודל זה.</t>
  </si>
  <si>
    <t>ה-IRR הוא תמיד במונחים אפקטיביים. ולכן, גם המרתו תבוצע עם חזקה בלבד.</t>
  </si>
  <si>
    <t xml:space="preserve">(1 + 7.5%)^(12/7) - 1 = </t>
  </si>
  <si>
    <t>מה לעזאזל עשיתי פה? מה מעריך החזקה מייצג?</t>
  </si>
  <si>
    <t xml:space="preserve">בגסות רבה - מעריך החזקה הוא הרצוי חלקי המצוי - </t>
  </si>
  <si>
    <t>התקופה שאני רוצה (12 חודשים)</t>
  </si>
  <si>
    <t xml:space="preserve">חלקי התקופה שמצאתי (7 חודשים). </t>
  </si>
  <si>
    <t xml:space="preserve">שאלה 13 </t>
  </si>
  <si>
    <t xml:space="preserve">שיעור תשואה פנימי = IRR. </t>
  </si>
  <si>
    <t xml:space="preserve">כאשר לפרויקט יש כמה IRR-ים, אזי חדלה מלהתקיים משמעותם כ״תשואת הפרויקט״. </t>
  </si>
  <si>
    <t xml:space="preserve">בעצם, ריבוי IRR-ים לפרויקט מעיד על היות הפרויקט לא קונבנציונלי, באופן שלא מאפשר לשפוט פרויקטים לפי IRR. </t>
  </si>
  <si>
    <t>לצד זאת, תמיד ולעולם ניתן להעריך כדאיות פרויקטים לפי המלך שלנו - ה-NPV.</t>
  </si>
  <si>
    <t>לכן:</t>
  </si>
  <si>
    <t>טענה 3 - נכונה: כי יש מידע לגבי IRR, אבל הוא לא עוזר לי לקבוע כדאיות</t>
  </si>
  <si>
    <t>טענה 4 - נכונה: ההחלטה במקרים כאלו חייבת להשען על הערך הנוכחי הנקי - NPV.</t>
  </si>
  <si>
    <t xml:space="preserve">לכן, התשובה הנכונה: 5. </t>
  </si>
  <si>
    <t xml:space="preserve">שאלה 14 </t>
  </si>
  <si>
    <t>רוצים לדעת מה מחיר השוק כרגע, מה שמעניין - כמה תשלומים נותרו כרגע</t>
  </si>
  <si>
    <t xml:space="preserve">שאלה 15 </t>
  </si>
  <si>
    <t xml:space="preserve">באופן לא מקרי, קיים שוויון בין שווי האג״ח </t>
  </si>
  <si>
    <t>לערכה הנקוב, שכן הריבית הנקובה לתקופת</t>
  </si>
  <si>
    <t>תשלום: 7.5% = 2 / 15%</t>
  </si>
  <si>
    <t xml:space="preserve">זהה לריבית האפקטיבית לתקופת תשלום </t>
  </si>
  <si>
    <t>קרי שיעור תשואה חצי שנתי לפדיון:</t>
  </si>
  <si>
    <r>
      <rPr>
        <sz val="12"/>
        <color theme="0"/>
        <rFont val="David"/>
        <family val="2"/>
        <charset val="177"/>
      </rPr>
      <t>,</t>
    </r>
    <r>
      <rPr>
        <sz val="12"/>
        <color theme="1"/>
        <rFont val="David"/>
        <family val="2"/>
        <charset val="177"/>
      </rPr>
      <t>=((1+15.56%)^(1/2)-1)*100 = 7.5%</t>
    </r>
  </si>
  <si>
    <t>מה זה בכלל ריבית אפקטיבית?</t>
  </si>
  <si>
    <t>ריבית אפקטיבית = ריבית ״כוללת״ או ריבית ״אמיתית״ שמביאה בחשבון את כל ההשפעות (ריבית דריבית, עמלות,</t>
  </si>
  <si>
    <t xml:space="preserve">ניכויים מראש). </t>
  </si>
  <si>
    <t>חישוב ריבית אפקטיבית כאשר הריבית משולמת מראש ״פעם אחת״</t>
  </si>
  <si>
    <t xml:space="preserve">אם מדובר בעסקה ״פשוטה״ = שאיננה כוללת תזרימי מזומנים לאורכה - אלא: סכום בהתחלה וסכום בסוף. </t>
  </si>
  <si>
    <t>הלוואה שלוקחים היום ומחזירים כולל ריבית צבורה בעוד x שנים או פיקדון שמפקידים היום ומקבלים כולל ריבית</t>
  </si>
  <si>
    <t>צבורה בעוד x שנים; אז הדרך הקלה ביותר לחשב את הריבית האפקטיבית היא בעצם לפי היחס בין הסכום</t>
  </si>
  <si>
    <t xml:space="preserve">הסופי לסכום ההתחלתי (פחות אחת). </t>
  </si>
  <si>
    <t>מקרה 1:</t>
  </si>
  <si>
    <t xml:space="preserve">אם אני יודע את הסכום ההתחלתי והסכום הסופי - ואין סכומים נוספים באמצע - </t>
  </si>
  <si>
    <t>היחס ביניהם (פחות אחת) הוא הריבית האפקטיבית לכל תקופת העסקה.</t>
  </si>
  <si>
    <t>מקרה 2:</t>
  </si>
  <si>
    <t xml:space="preserve">זה המקרה פה. </t>
  </si>
  <si>
    <t>גם אם הסכום עצמו לא נתון אבל יש מידע בהיבט ריבית / עמלות על השיעורים</t>
  </si>
  <si>
    <t xml:space="preserve">ועיתוי תשלומים הספציפי, אפשר להשתמש בסכום כלשהו ולעבוד איתו. </t>
  </si>
  <si>
    <t>הנסח היה: נוטלים הלוואה ל-5 שנים,</t>
  </si>
  <si>
    <t>משלמים מיד ריבית מראש 30%</t>
  </si>
  <si>
    <t>קרן נפרעת בתום התקופה</t>
  </si>
  <si>
    <t>העסקה ל-5 שנים, ולכן הריבית</t>
  </si>
  <si>
    <t>האפקטיבית שחולצה היא ל-5</t>
  </si>
  <si>
    <t>שנים גם!</t>
  </si>
  <si>
    <r>
      <t xml:space="preserve">אם הצלחתי להגיע (או שנתונה) ריבית אפקטיבית לתקופה </t>
    </r>
    <r>
      <rPr>
        <b/>
        <sz val="12"/>
        <color theme="1"/>
        <rFont val="David"/>
        <family val="2"/>
        <charset val="177"/>
      </rPr>
      <t>כלשהי</t>
    </r>
    <r>
      <rPr>
        <sz val="12"/>
        <color theme="1"/>
        <rFont val="David"/>
        <family val="2"/>
        <charset val="177"/>
      </rPr>
      <t xml:space="preserve"> אזי היכולת להמירה</t>
    </r>
  </si>
  <si>
    <t>מתקופה אחת לאחרת תבוצע רק עם מעריך חזקה מתאים (אחת ועוד הריבית,</t>
  </si>
  <si>
    <t xml:space="preserve">בחזקה מתאימה, וכל זה - פחות אחת). </t>
  </si>
  <si>
    <t>גם בזה נשתמש.</t>
  </si>
  <si>
    <t>הואיל והריבית שחולצה היא אפקטיבית ל-5 שנים בהגדרה, ונדרשת ריבית אפקטיבית לשנה אחת בלבד:</t>
  </si>
  <si>
    <t>מעריך החזקה בהמרה מריבית אפקטיבית לתקופה לריבית</t>
  </si>
  <si>
    <t xml:space="preserve">אפקטיבית לתקופה אחרת הוא היחס בין התקופה הנדרשת / </t>
  </si>
  <si>
    <t xml:space="preserve">זו שעליה שואלים, לבין התקופה שקיימת / נתונה (בסוגריים). </t>
  </si>
  <si>
    <t xml:space="preserve">במקרה שלנו: הריבית בסוגריים היא ל-5 שנים (נתונה). </t>
  </si>
  <si>
    <t xml:space="preserve">נדרשת ריבית לשנה אחת. </t>
  </si>
  <si>
    <t>לכן מעריך החזקה שהוא היחס בין התקופה שאני רוצה (שנה)</t>
  </si>
  <si>
    <t>לבין התקופה שאני צריך (5 שנים)</t>
  </si>
  <si>
    <t xml:space="preserve">לכן החזקה 1/5. </t>
  </si>
  <si>
    <r>
      <t xml:space="preserve">המרה מריבית </t>
    </r>
    <r>
      <rPr>
        <b/>
        <sz val="12"/>
        <color theme="1"/>
        <rFont val="David"/>
        <family val="2"/>
        <charset val="177"/>
      </rPr>
      <t>אפקטיבית</t>
    </r>
    <r>
      <rPr>
        <sz val="12"/>
        <color theme="1"/>
        <rFont val="David"/>
        <family val="2"/>
        <charset val="177"/>
      </rPr>
      <t xml:space="preserve">  לריבית </t>
    </r>
    <r>
      <rPr>
        <b/>
        <sz val="12"/>
        <color theme="1"/>
        <rFont val="David"/>
        <family val="2"/>
        <charset val="177"/>
      </rPr>
      <t>אפקטיבית</t>
    </r>
    <r>
      <rPr>
        <sz val="12"/>
        <color theme="1"/>
        <rFont val="David"/>
        <family val="2"/>
        <charset val="177"/>
      </rPr>
      <t xml:space="preserve"> לתקופה אחרת היא עם חזקה בלבד!!!!!</t>
    </r>
  </si>
  <si>
    <t>ברמה הבסיסית - כששואלים מה ההלוואה הטובה ביותר - מתכוונים להלוואה שבה הריבית (האפקטיבית) היא הנמוכה ביותר.</t>
  </si>
  <si>
    <t>חלופה 4 - עונה להגדרה של:</t>
  </si>
  <si>
    <t>משלם מיד</t>
  </si>
  <si>
    <t>מחזיר</t>
  </si>
  <si>
    <t>העסקה לשנה; הריבית לשנה.</t>
  </si>
  <si>
    <t>מקרה 3:</t>
  </si>
  <si>
    <t>אם יש בשאלה נתון על ריבית מראש המחושבת מספר פעמים (נניח, כל רבעון, כל שנה,</t>
  </si>
  <si>
    <t>כל חציון, כל חודש)</t>
  </si>
  <si>
    <t>בתור התחלה - ניקח את הריבית מראש, ונחלק אותה במספר תקופות החישוב שלה:</t>
  </si>
  <si>
    <t xml:space="preserve">המהלך של d/m. </t>
  </si>
  <si>
    <t xml:space="preserve">אחר כך נשאל - כמה תקופות חישוב יש בתקופה הנדרשת, וזה יהיה בחזקה. </t>
  </si>
  <si>
    <t>״סתם ריבית מראש״</t>
  </si>
  <si>
    <t>חלופה 3: ״ריבית מראש המחושבת כל״</t>
  </si>
  <si>
    <t>״ריבית מראש״ וזהו</t>
  </si>
  <si>
    <t xml:space="preserve">שלב 1: </t>
  </si>
  <si>
    <t xml:space="preserve">ניקח את הריבית מראש d ונחשוב במה לחלק אותה, כדי לעבור ל״תקופת חישוב אחת״. </t>
  </si>
  <si>
    <t xml:space="preserve">במקרה זה: הריבית מראש d היא לשנה, מחושבת כל רבעון, לכן נחלק ב-4. </t>
  </si>
  <si>
    <t xml:space="preserve">שלב 2: שלב החזקה: מספר תקופות חישוב הריבית בתקופה שרוצים לחשב. </t>
  </si>
  <si>
    <t xml:space="preserve">כאן - תקופת חישוב היא רבעון, ורוצים ריבית אפקטיבית לשנה. החזקה 4. </t>
  </si>
  <si>
    <t>לרבעון</t>
  </si>
  <si>
    <t>מקרה 4:</t>
  </si>
  <si>
    <t>המקרה שבו קיימת ריבית (לא מראש) ״המחושבת כל״</t>
  </si>
  <si>
    <t>בתור התחלה - ניקח את הריבית הנתונה rs ונחלק אותה במספר תקופות החישוב</t>
  </si>
  <si>
    <t xml:space="preserve">שלה. המהלך של rs/m. </t>
  </si>
  <si>
    <t>המהלך השני - חזקה של n שהיא התשובה לשאלה: כמה תקופות חישוב נכנסות בתקופת העסקה / הנדרשת.</t>
  </si>
  <si>
    <t>חלופה 1:</t>
  </si>
  <si>
    <t>ריבית המחושבת כל רבעון (ללא אזכור של ״מראש״.</t>
  </si>
  <si>
    <t>שלב 1: אקח את הריבית הנתונה לשנה 20%, ואחלק אותה</t>
  </si>
  <si>
    <t>כדי להגיע לתקופת חישוב אחת (לרבעון). זה אומר: 5% = 4 / 20%</t>
  </si>
  <si>
    <t>שלב 2: מה בחזקה? החזקה היא התשובה לשאלה - כמה תקופות</t>
  </si>
  <si>
    <t xml:space="preserve">חישוב (רבעונים) קיימים בתקופה הנשאלת (שנה). התשובה: 4. </t>
  </si>
  <si>
    <t>חלופה 2:</t>
  </si>
  <si>
    <t>שלב 1: אקח את הריבית הנתונה לשנה 24%, ואחשוב בכמה</t>
  </si>
  <si>
    <t xml:space="preserve">לחלק אותה כדי להגיע לתקופת חישוב אחת (שנה גם) התשובה 1. </t>
  </si>
  <si>
    <t>חישוב (שנים) קיימים בתקופה הנשאלת (שנה). התשובה 1.</t>
  </si>
  <si>
    <t>24%/1 = 24%</t>
  </si>
  <si>
    <t>ריבית המחושבת כל רבעון (ללא אזכור של ״מראש״).</t>
  </si>
  <si>
    <t xml:space="preserve">תשובה סופית: הריבית האפקטיבית הנמוכה ביותר היא בחלופה 3, ולכן תועדף. </t>
  </si>
  <si>
    <r>
      <t xml:space="preserve">כמו כן, הואיל ומדובר בחישוב ערך נוכחי של </t>
    </r>
    <r>
      <rPr>
        <b/>
        <sz val="12"/>
        <color theme="1"/>
        <rFont val="David"/>
        <family val="2"/>
        <charset val="177"/>
      </rPr>
      <t>סדרה</t>
    </r>
    <r>
      <rPr>
        <sz val="12"/>
        <color theme="1"/>
        <rFont val="David"/>
        <family val="2"/>
        <charset val="177"/>
      </rPr>
      <t>, אני מחויב למצוא את הריבית האפקטיבית לפרק הזמן</t>
    </r>
  </si>
  <si>
    <r>
      <t xml:space="preserve">בין תשלומים - כלומר כאן, עליי למצוא </t>
    </r>
    <r>
      <rPr>
        <b/>
        <sz val="12"/>
        <color theme="1"/>
        <rFont val="David"/>
        <family val="2"/>
        <charset val="177"/>
      </rPr>
      <t>ריבית אפקטיבית חודשית</t>
    </r>
    <r>
      <rPr>
        <sz val="12"/>
        <color theme="1"/>
        <rFont val="David"/>
        <family val="2"/>
        <charset val="177"/>
      </rPr>
      <t xml:space="preserve"> (זכרו: פרק הזמן בין תשלומים הוא הקובע</t>
    </r>
  </si>
  <si>
    <t>מקרה 5:</t>
  </si>
  <si>
    <t>אם מדובר בשאלה שאין תכליתה המרכזית לחשב ריבית אפקטיבית (כלומר ההיגדים / מסיחי התשובה אינם</t>
  </si>
  <si>
    <t xml:space="preserve">באחוזי ריבית כתוצאה נדרשת) אלא בכלל עוסקים בערך נוכחי של סדרה, ערך עתידי של סדרה וכן הלאה, </t>
  </si>
  <si>
    <t>חשוב מאד מאד לזכור שללא תלות באורכה של הסדרה והעסקה, אני זקוק לריבית אפקטיבית לתקופת</t>
  </si>
  <si>
    <t>תשלום. למשל: כדי לחשב ערך נוכחי של סדרה הכוללת תשלומים חודשיים במשך 10 שנים, אני זקוק לריבית</t>
  </si>
  <si>
    <t>אפקטיבית לחודש אחד.</t>
  </si>
  <si>
    <t>אם הטעות היחידה היתה אי הכללת ההון החוזר, השפעתו על הענ״נ היתה פשוטה</t>
  </si>
  <si>
    <t>מאין כמותה:</t>
  </si>
  <si>
    <t>השינוי ב-NPV הנובע מההון החוזר</t>
  </si>
  <si>
    <t>אם הטעות היחידה היתה הפחתת הנכס על פני 4 שנים במקום 10 שנים:</t>
  </si>
  <si>
    <t>זיכוי המס על פחת הנכס</t>
  </si>
  <si>
    <t xml:space="preserve">1600/4 * 25% = </t>
  </si>
  <si>
    <t>במצב החדש - בתום כל אחת מהשנים 1-4:</t>
  </si>
  <si>
    <t>במצב הקודם, בתום כל אחת מהשנים 1-10:</t>
  </si>
  <si>
    <t xml:space="preserve">1600/10*25% = </t>
  </si>
  <si>
    <t>השינוי ב- NPV הנובע מהפרשי ההפחתה</t>
  </si>
  <si>
    <t>סך שינוי ב- NPV</t>
  </si>
  <si>
    <t>ה-NPV לפני תיקון</t>
  </si>
  <si>
    <t>ה-NPV לאחר תיקון</t>
  </si>
  <si>
    <t>שיטה תוספתית (לא חייב) - מחשבים אך ורק את ההשפעות התזרימיות הנובעות מכל תיקון, עושים לכל אחת מהן בנפרד NPV, ומחברים:</t>
  </si>
  <si>
    <t>השיטה שהוצגה בכיתה - מבוססת על הטבלה הסטנדרטית הנלמדת:</t>
  </si>
  <si>
    <t xml:space="preserve">השאלות הראשונות נפתרו באופן מלא ע״י המרצה. </t>
  </si>
  <si>
    <t>פתרון מלא בשני השיעורים האחרונים שלנו (לא כולל שיעור חזרה)</t>
  </si>
  <si>
    <t>מושג</t>
  </si>
  <si>
    <t>בלעז</t>
  </si>
  <si>
    <t>משקף</t>
  </si>
  <si>
    <t>שווי הפרויקט, נטו, בערך נוכחי (אחרי עלויות מימון)</t>
  </si>
  <si>
    <t>כלל ההכרעה</t>
  </si>
  <si>
    <t>כדאי - NPV&gt;0</t>
  </si>
  <si>
    <t>לא כדאי NPV&lt;0</t>
  </si>
  <si>
    <t>שת״פ</t>
  </si>
  <si>
    <t>שיעור תשואה פנימי - הרווח באחוזים על ההשקעה בפרויקט (לתקופה)</t>
  </si>
  <si>
    <t xml:space="preserve">התשואה הזו היא לפני התייחסות לעלויות מימון (מחיר ההון / </t>
  </si>
  <si>
    <t>עלות גיוס ההון ב-%)</t>
  </si>
  <si>
    <t>כדאי IRR&gt;מחיר ההון (הריבית שדורשים המשקיעים / עלות גיוס ההון)</t>
  </si>
  <si>
    <t>לא כדאי IRR &lt; מחיר ההון</t>
  </si>
  <si>
    <t xml:space="preserve">כל האמור לעיל נכון ותקף כשמדובר בפרויקט ״רגיל״ - מהסוג ה״נפוץ ביותר״ - כזה שמשקיעים בו (תזרים שלילי) ולאחר מכן מקבלים (תזרים חיובי). </t>
  </si>
  <si>
    <t>אם הפרויקטים:</t>
  </si>
  <si>
    <t xml:space="preserve">הם לא קונבנציונליים - אז בעיקרון ל-IRR ״אין משמעות״ (ייתכן שלא נקבל שת״פים, או שנקבל כמה שתפ״ים). </t>
  </si>
  <si>
    <t xml:space="preserve">הם פרויקטים של הלוואות - כלומר מקבלים כסף ורק אז משלמים / מחזירים - נרצה IRR נמוך (כשנוטלים הלוואה ה-IRR הוא הריבית שאני משלם). </t>
  </si>
  <si>
    <t xml:space="preserve">הרחבה (שלא רלוונטית בשאלה ספציפית זו אבל כדאי לדעת למקרה הכללי). </t>
  </si>
  <si>
    <t>NPV &lt; 0</t>
  </si>
  <si>
    <t>הואיל ומדובר בפרויקט רגיל קונבנציונלי של השקעה, ניתן להסיק מכך ישירות:</t>
  </si>
  <si>
    <t>IRR &gt; מחיר ההון</t>
  </si>
  <si>
    <t>IRR &lt; מחיר ההון</t>
  </si>
  <si>
    <t>טענה 2: שגויה. בפרויקט סטנדרטי של השקעה, NPV&lt;0 משמעו IRR&lt;מחיר ההון. למשל, אם מחיר ההון 8%, וה-IRR 5%, למרות שהוא חיובי הפרויקט לא כדאי.</t>
  </si>
  <si>
    <t xml:space="preserve">ואם הוא לא כדאי במצב המוצא, כמובן שלא ייוצר ענ״נ חיובי במצב החדש. </t>
  </si>
  <si>
    <t>טענה 3: שגויה. עלייה בריבית ---&gt; עלייה במחיר ההון. כבר במצב המוצא מחיר ההון ״גבוה מדי״ ----&gt; העלאת הריבית ומחיר ההון תהפוך את הפרויקט לפחות משתלם,</t>
  </si>
  <si>
    <r>
      <t xml:space="preserve">בדיוק בשל הנמקה זו, </t>
    </r>
    <r>
      <rPr>
        <b/>
        <sz val="12"/>
        <color theme="1"/>
        <rFont val="David"/>
        <family val="2"/>
        <charset val="177"/>
      </rPr>
      <t>טענה 4 נכונה</t>
    </r>
    <r>
      <rPr>
        <sz val="12"/>
        <color theme="1"/>
        <rFont val="David"/>
        <family val="2"/>
        <charset val="177"/>
      </rPr>
      <t xml:space="preserve">. </t>
    </r>
  </si>
  <si>
    <t xml:space="preserve">כדי לדון בטענה 1, עליי להסביר (להדגים) מה המשמעות של ״הכנסות לא מהוונות״. </t>
  </si>
  <si>
    <t>נניח הפרויקט הבא:</t>
  </si>
  <si>
    <t>סך ההכנסות הלא מהוונות - במקום לעשות עליהן PV כמקובל,</t>
  </si>
  <si>
    <t>פשוט סוכמים אותן: 105</t>
  </si>
  <si>
    <t>סך ההוצאות וההשקעות: 100-</t>
  </si>
  <si>
    <t>זו הדגמה למקרה שבו סך ההכנסות הלא מהוונות גבוהות יותר</t>
  </si>
  <si>
    <t>מאשר סך ההשקעות וההוצאות.</t>
  </si>
  <si>
    <t>נניח כעת שמחיר ההון של החברה 10% לשנה.</t>
  </si>
  <si>
    <t xml:space="preserve">הטענה שגויה, שכן גם אם הסכום שמתקבל (במונחים לא מהוונים, בהתעלם מהשפעות זמן ועלויות מימון) גבוה יותר מהסכום שמשלמים - </t>
  </si>
  <si>
    <t xml:space="preserve">הרי שבהתחשב בהשפעות זמן ועלויות מימון - הענ״נ בכל זאת עלול להיות שלילי. </t>
  </si>
  <si>
    <t>כאשר דנים בפרויקט ספציפי, ולא משנה איזה, ערך תזרימי היסטורי (סכום שהתקבל או הושקע בעבר) יהא אשר יהא הוא בגדר עלות שקועה.</t>
  </si>
  <si>
    <t>כשאנו מקבלים החלטה (מחשבים NPV, IRR וכו׳) אנו תמיד מביטים על מה שצפוי לנבוע כתוצאה מההחלטה, בעתיד, ובמובן זה - ערכים היסטוריים</t>
  </si>
  <si>
    <t xml:space="preserve">הם לא רלוונטיים. </t>
  </si>
  <si>
    <t>הנתונים התזרימיים של הפרויקט הם:</t>
  </si>
  <si>
    <t>מזמן 1 עד אינסוף</t>
  </si>
  <si>
    <t xml:space="preserve">כדי לחשב PV של סדרה אינסופית, אפשר לבצע חישוב מתמטי או חישוב מחשבוני CMPD. </t>
  </si>
  <si>
    <t>בחישוב המחשבוני:</t>
  </si>
  <si>
    <t>למרות שקיבלתי ערך שלילי לכאורה, כמובן שמדובר בתוצאה חיובית, השווי של תקבולים נצחיים הוא ערך חיובי, והמחשבון פולט אותו כשלילי</t>
  </si>
  <si>
    <t xml:space="preserve">כי זו דרכו לומר ״אתה מוכן לשלם על זה״. </t>
  </si>
  <si>
    <t>שווי להיום של התקבולים העתידיים לנצח</t>
  </si>
  <si>
    <t>בניכוי עלות ההשקעה המיידית בזמן 0</t>
  </si>
  <si>
    <t>סה״כ ערך נוכחי כוללני - ענ״נ</t>
  </si>
  <si>
    <t xml:space="preserve">11,000 - 10,000 = </t>
  </si>
  <si>
    <t>דרך מתמטית - חישוב ערך נוכחי של סדרת תקבולים אינסופית על בסיסה:</t>
  </si>
  <si>
    <t>מחשבונית</t>
  </si>
  <si>
    <t>PV(אינסופית) = PMT/r</t>
  </si>
  <si>
    <t xml:space="preserve">PV(אינסופית) </t>
  </si>
  <si>
    <t xml:space="preserve">= 1100/10% = </t>
  </si>
  <si>
    <t xml:space="preserve">ענ״נ = ערך נוכחי נקי = ערך נוכחי נטו של כל תזרימי הפרויקט (NPV) = אם הוא חיובי, הפרויקט כדאי, זה המצב פה. </t>
  </si>
  <si>
    <t>תשובה 1.</t>
  </si>
  <si>
    <t xml:space="preserve">טענה 2: שגויה. </t>
  </si>
  <si>
    <t>בפרויקט קונבנציונלי של השקעות (כדוגמת זה שבו עוסקים, שמשקיעים ואז מקבלים) אם הענ״נ חיובי NPV&gt;0</t>
  </si>
  <si>
    <t>הדבר מהווה סיגנל לכדאיות, שמובילה למסקנה שתתקיים כדאיות גם לפי שת״פ / IRR: קרי לפי IRR&gt;מחיר ההון.</t>
  </si>
  <si>
    <t xml:space="preserve">הטענה עצמה אמרה, שבגלל ש-IRR במצב כזה גבוה ממחיר ההון, הפרויקט דווקא לא כדאי. וההפך הוא הנכון. </t>
  </si>
  <si>
    <t xml:space="preserve">טענה 3: שגויה. הענ״נ איננו 1,000- (במינוס) אלא 1,000+ מה שמעיד על כדאיות הפרויקט. </t>
  </si>
  <si>
    <t>טענה 4 שגויה: הן הסקר ההיסטורי והן כל השלכת מס שלו שכבר נוצרה, הן בגדר ערך היסטורי / עלויות שקועות</t>
  </si>
  <si>
    <t xml:space="preserve">שאינן רלוונטיות לקבלת החלטה. </t>
  </si>
  <si>
    <t>טענה 5 פשוט לא רלוונטית.</t>
  </si>
  <si>
    <t xml:space="preserve">יש כאן פרויקט שיש לו שני שיעורי תשואה פנימיים / שני שת״פים / שני ערכי IRR. </t>
  </si>
  <si>
    <t>איך זה יכול להיות?</t>
  </si>
  <si>
    <t xml:space="preserve">התשובה: אם הפרויקט לא קונבנציונלי (לתזרימיו יש מספר היפוכי סימן  + - + -) ייתכן מתמטית שיהיה לו יותר משת״פ אחד. </t>
  </si>
  <si>
    <t>במצב כזה, השת״פ מאבד את משמעותו הכלכלית.</t>
  </si>
  <si>
    <t>בפרויקטים קונבנציונליים - המשמעות הכלכלית של השת״פ היא שיעור התשואה התקופתי על ההשקעה (או בהלוואות - שיעור הריבית על ההלוואה).</t>
  </si>
  <si>
    <t>אם הפרויקטים לא קונבנציונליים ומרובי שתפי״ם - מדובר בתוצאות מתמטיות של שת״פ שבפני עצמן לא אומרות שום דבר.</t>
  </si>
  <si>
    <t>אם זיהיתי פרויקט לא קונבנציונלי</t>
  </si>
  <si>
    <t>שאחד מסממניו הוא יותר משת״פ אחד (או מצב בלי שת״פ בכלל)</t>
  </si>
  <si>
    <t>אזי נתוני השת״פ אינם מספקים לקבלת החלטה בדבר כדאיות הפרויקט</t>
  </si>
  <si>
    <t>וההחלטה לגביו צריכה להתקיים על בסיס הענ״נ NPV בלבד.</t>
  </si>
  <si>
    <t xml:space="preserve">לכן - התשובה א. </t>
  </si>
  <si>
    <t xml:space="preserve">מחיר השוק של אג״ח הוא לעולם הערך הנוכחי של תזרימי הקופון (ריבית) והערך הנקוב אשר ישולמו למשקיע. </t>
  </si>
  <si>
    <t xml:space="preserve">את הערך הנוכחי הנ״ל אפשר לחשב באמצעות CMPD בהתאם, או באמצעות הזנת תזרימי האג״ח ושימוש ב-NPV שבתוך CASH. </t>
  </si>
  <si>
    <t>״שי אבל NPV זה לא רק לפרויקטים״?</t>
  </si>
  <si>
    <t xml:space="preserve">לא. </t>
  </si>
  <si>
    <t>כשאנו דנים בכלי ה-NPV במחשבון הפיננסי, הכלי הזה אומר:</t>
  </si>
  <si>
    <t>כשאנו דנים ב-CMPD ו-PV במחשבון הפיננסי, הכלי הזה אומר:</t>
  </si>
  <si>
    <t>״הגדר לי כמה תזרימים קבועים יש לך ומה סכומם, ואתן לך את הערך הנוכחי שלהם״</t>
  </si>
  <si>
    <r>
      <t xml:space="preserve">״תן לי </t>
    </r>
    <r>
      <rPr>
        <b/>
        <sz val="12"/>
        <color theme="1"/>
        <rFont val="David"/>
        <family val="2"/>
        <charset val="177"/>
      </rPr>
      <t>רשימה (טור) מפורט</t>
    </r>
    <r>
      <rPr>
        <sz val="12"/>
        <color theme="1"/>
        <rFont val="David"/>
        <family val="2"/>
        <charset val="177"/>
      </rPr>
      <t xml:space="preserve"> של תזרימים ואתן לך את הערך הנוכחי שלהם״</t>
    </r>
  </si>
  <si>
    <t>שיעור התשואה לפדיון/ריבית השוק / על אג״ח דומות</t>
  </si>
  <si>
    <t>אין תזרים מיידי</t>
  </si>
  <si>
    <t>קופון שנתי: מכפלת ריבית נקובה בערך נקוב</t>
  </si>
  <si>
    <t xml:space="preserve">4%* 100 = </t>
  </si>
  <si>
    <t xml:space="preserve">התזרים האחרון כולל גם קופון וגם </t>
  </si>
  <si>
    <t>את הערך הנקוב: 4 + 100</t>
  </si>
  <si>
    <t>מספר תזרימי המזומנים שנותרו לאג״ח</t>
  </si>
  <si>
    <t>שיעור תשואה לפדיון לתקופת תשלום - כאן לשנה</t>
  </si>
  <si>
    <t>הקופון הקבוע - מכפלת ריבית נקובה בערך נקוב</t>
  </si>
  <si>
    <t>הערך הנקוב של האג״ח</t>
  </si>
  <si>
    <t>בין אם אהבתם לעבוד על תזרים מפורט ולחשב לו -NPV ב-CASH</t>
  </si>
  <si>
    <t>בין אם אהבתן רק לייצר חישוב עקרוני של PV לפי הגדרות תזרימי</t>
  </si>
  <si>
    <t>הקופון הקבועים ב-CMPD,</t>
  </si>
  <si>
    <t xml:space="preserve">הערך המוחלט של התשובה המבטא את שווי האג״ח </t>
  </si>
  <si>
    <t>הוא 82.03.</t>
  </si>
  <si>
    <t>מדובר בשאלה עתירת נתונים (הכנסות, הוצאות, פחת) שכוללת גם נתוני מסים. בעיקרון זו שאלת פרויקטים ״מורכבת״</t>
  </si>
  <si>
    <t xml:space="preserve">שבה אנו בונים באמצעות טבלה את תזרימי המזומנים של תכנית ההשקעה, מזינים אותם ל-CASH ומחשבים NPV. </t>
  </si>
  <si>
    <t>בדף הנוסחאות, המבנה המופיע הוא זה:</t>
  </si>
  <si>
    <t>הוצאות</t>
  </si>
  <si>
    <t>פחת תקופתי</t>
  </si>
  <si>
    <t>הוספת פחת</t>
  </si>
  <si>
    <t>תזרים השקעה</t>
  </si>
  <si>
    <t>שינוי בהון חוזר</t>
  </si>
  <si>
    <t>תזרים מזומנים</t>
  </si>
  <si>
    <t>שנים 6-9</t>
  </si>
  <si>
    <t>תמיד בנפרד</t>
  </si>
  <si>
    <t>תום הפרויקט</t>
  </si>
  <si>
    <t>תקופת</t>
  </si>
  <si>
    <t>הפחת</t>
  </si>
  <si>
    <t>כל</t>
  </si>
  <si>
    <t>היתר</t>
  </si>
  <si>
    <t>מס (20% מהרווח לפני מס)</t>
  </si>
  <si>
    <t>רווח אחרי מס (רווח לפני מס בניכוי מס)</t>
  </si>
  <si>
    <t>כאשר מוכרים השקעה, עלינו לחשב את ההפרש בין התמורה לבין ״העלות המופחתת״ ערב המכירה ואותה למסות.</t>
  </si>
  <si>
    <t xml:space="preserve">750,000 - 150,000 * 5 = </t>
  </si>
  <si>
    <t>מס - 20%</t>
  </si>
  <si>
    <t>התמורה 100,000 בניכוי המס המשולם על הרווח 20,000 היא התמורה נטו 80,000 שאותה כללנו בטבלה.</t>
  </si>
  <si>
    <t>הפרש חיובי בין תמורת המכירה לעלות המופחתת (עלות בניכוי פחת נצבר ערב המכירה) = רווח הון</t>
  </si>
  <si>
    <t xml:space="preserve">מחיר ההון - נתון </t>
  </si>
  <si>
    <t>מחזיר בסוף</t>
  </si>
  <si>
    <t>המלצה חמה:</t>
  </si>
  <si>
    <t>אם בשאלה הדורשת חישוב ריבית אומרים לי באופן מלא, מדויק, מפורט - בדיוק מה הסכום הכספי שאני מקבל ובדיוק מה הסכום</t>
  </si>
  <si>
    <t xml:space="preserve">הכספי שאני משלם, והעסקה היא ״פשוטה״ (לא עסקת תשלומים / שפיצר / תשלומים במהלך התקופה - התחלה וסוף), </t>
  </si>
  <si>
    <t>אזי הדרך הקלה ביותר לחשב את הריבית האפקטיבית לתקופת העסקה כולה היא על ידי היחס בין התשלום בסוף</t>
  </si>
  <si>
    <t xml:space="preserve">לבין התקבול ההתחלתי - וכל זה, פחות 1. </t>
  </si>
  <si>
    <t xml:space="preserve">re(2.5 years) = 112000/100000 - 1 = </t>
  </si>
  <si>
    <t>הואיל והעסקה היא לשנתיים וחצי, בדרך זו קיבלנו ריבית אפקטיבית לשנתיים וחצי. על מנת להתאימה לריבית אפקטיבית לשנה,</t>
  </si>
  <si>
    <t>כל שעלינו לעשות הוא להתשמש במעריך חזקה מתאים, כדי להמיר את הריבית האפקטיבית מתקופה לתקופה:</t>
  </si>
  <si>
    <t>דיברו בתור התחלה על ריבית לא צמודה של 20% לשנה בחישוב רבעוני.</t>
  </si>
  <si>
    <t>ברגע שאני מזהה את המילים: ״ריבית ___ בחישוב רבעוני / חצי שנתי / חודשי״ או ״ריבית המחושבת כל חודש, כל חודשיים, כל חצי שנה...״</t>
  </si>
  <si>
    <t>אוטומטית אני מסיק שהריבית הזו נקובה.</t>
  </si>
  <si>
    <t>בתור התחלה, למרות שהנדרש מדבר על ריבית ריאלית, אני רוצה לגלות את הריבית ה״אמיתית״ הנומינלית, כלומר ריבית אפקטיבית נומינלית.</t>
  </si>
  <si>
    <t>איך הופכים ריבית שנתית נקובה לריבית אפקטיבית שנתית?</t>
  </si>
  <si>
    <t>שלב 1: באמצעות כפל או חילוק פשוט (בדרך כלל חילוק) ממירים את הריבית הנקובה לתקופת חישוב אחת.</t>
  </si>
  <si>
    <t>כאן, הריבית הנקובה השנתית 20%, מחושבת כל רבעון, לכן מחלקים ב-4:</t>
  </si>
  <si>
    <t xml:space="preserve">20%/4 = </t>
  </si>
  <si>
    <t>שלב 2: באמצעות חזקה מתאימה, המר את הריבית לתקופת חישוב לתקופה הכוללת הנדרשת (כאן - שנה):</t>
  </si>
  <si>
    <t xml:space="preserve">(1 + 5%)^4 - 1 = </t>
  </si>
  <si>
    <t>ברגע שהריבית הכוללת (האפקטיבית הנומינלית) ידועה לי, כדי לתרגם אותה למונחים ריאליים איעזר בנוסחה הבאה:</t>
  </si>
  <si>
    <t xml:space="preserve">טענה 1 - נשללת מיד. כלל השת״פ (IRR) מתחרבש לגמרי בפרויקטים לא קונבנציונליים. </t>
  </si>
  <si>
    <t xml:space="preserve">טענה 2: </t>
  </si>
  <si>
    <t>לפי ההגדרה בדף הנוסחאות - מדד הרווחיות / אינדקס הרווחיות הוא היחס בין הערך הנוכחי של התקבולים (מונה)</t>
  </si>
  <si>
    <t xml:space="preserve">לבין הערך המוחלט של סכום ההשקעה בפרויקט (מכנה). </t>
  </si>
  <si>
    <t>אם מדד הרווחיות גבוה מ-1, זה אומר שהערך הנוכחי של מה שמקבלים (מונה) בהכרח גדול מהערך הנוכחי של מה שמשלמים (מכנה),</t>
  </si>
  <si>
    <t xml:space="preserve">וכמובן שהדבר מעיד על כך שהענ״נ חיובי. </t>
  </si>
  <si>
    <t>לכן הטענה נכונה.</t>
  </si>
  <si>
    <t>תרגול מסכם והיבטים נוספים 4.2.2025</t>
  </si>
  <si>
    <t>שאלה מס׳ 5 ממקור לא ידוע - גלעד</t>
  </si>
  <si>
    <t xml:space="preserve">נטלתם משכנתא בסכום של 100,000 בריבית פשוטה של 12% למשך 20 שנה. </t>
  </si>
  <si>
    <t xml:space="preserve">המשכנתא נושאת בתשלומים חודשיים. </t>
  </si>
  <si>
    <t>מהי הריבית האפקטיבית המגולמת במשכנתא (שנתית)?</t>
  </si>
  <si>
    <t xml:space="preserve">הבנק לקח על הנפקת המשכנתא עמלה בסך 2% מערך המשכנתא. </t>
  </si>
  <si>
    <t>יש כאן הלוואה שנפרעת בתשלומים חודשיים (״שווים - כברירת מחדל״ - שפיצר).</t>
  </si>
  <si>
    <t>נתונה הריבית הפשוטה בהלוואה ובנוסף יש גם עמלה.</t>
  </si>
  <si>
    <t>רוצים שנחלץ את הריבית האפקטיבית = ״הריבית האמיתית, המתחשבת במכלול עלויות העסקה, כולל עמלות״.</t>
  </si>
  <si>
    <t>בקצרה: הלוואת שפיצר עם מלא עמלות ובלגן = עם רצון לחשב ריבית אפקטיבית:</t>
  </si>
  <si>
    <t xml:space="preserve">שלב 1: חילוץ התשלום התקופתי הקבוע בהלוואה בהתעלם מעמלות. </t>
  </si>
  <si>
    <t>מספר התשלומים בהלוואה</t>
  </si>
  <si>
    <t xml:space="preserve">הריבית לתקופת תשלום: </t>
  </si>
  <si>
    <t>התאמת הריבית ע״י חילוק (כשהריבית נקובה / פשוטה) או ע״י חזקה (בכל מקרה אחר)</t>
  </si>
  <si>
    <t>התשלום התקופתי הקבוע - הערך המחולץ - SOLVE</t>
  </si>
  <si>
    <t>שלב 2: שיקלול העמלות וחילוץ הריבית האפקטיבית לתקופת תשלום:</t>
  </si>
  <si>
    <t>זהה</t>
  </si>
  <si>
    <t>סכום ההלוואה בניכוי כל עמלה מיידית / בזמן 0</t>
  </si>
  <si>
    <t>סכום ההלוואה ״נטו״</t>
  </si>
  <si>
    <t>ה-PMT שחולץ (שלב 1) יחד עם כל עמלה תקופתית</t>
  </si>
  <si>
    <t>הערך המחולץ - ריבית אפקטיבית לתקופת תשלום</t>
  </si>
  <si>
    <t>שלב 3: הריבית שחילצנו I% היא לתקופת תשלום. אם דרשו ריבית לתקופה אחרת (מאד נפוץ - שנה)</t>
  </si>
  <si>
    <t>יש לבצע התאמה שלה עם מעריך חזקה מתאים.</t>
  </si>
  <si>
    <t xml:space="preserve">100,000 * (1 - 2%) =  </t>
  </si>
  <si>
    <t>הואיל והתשלומים חודשיים, הערך 1.0268% הוא בגדר ריבית אפקטיבית חודשית.</t>
  </si>
  <si>
    <t>כדי לתרגם אותה למונחים שנתיים (מאפקטיבית חודשית לאפקטיבית שנתית) נדרש מעריך חזקה מתאים:</t>
  </si>
  <si>
    <t xml:space="preserve">(1 + 1.0268%)^(12) - 1 = </t>
  </si>
  <si>
    <t>אני כאן</t>
  </si>
  <si>
    <r>
      <rPr>
        <sz val="12"/>
        <color theme="0"/>
        <rFont val="David"/>
        <family val="2"/>
        <charset val="177"/>
      </rPr>
      <t>,</t>
    </r>
    <r>
      <rPr>
        <sz val="12"/>
        <color theme="1"/>
        <rFont val="David"/>
        <family val="2"/>
        <charset val="177"/>
      </rPr>
      <t>2 + 1/12</t>
    </r>
  </si>
  <si>
    <t>שווי של אג״ח הוא הערך הנוכחי של תזרימי המזומנים העתידיים שנותר לה לשלם למשקיע.</t>
  </si>
  <si>
    <t>כאן, האג״ח ל-8 שנים, ותדירות התשלומים בה רבעונית.</t>
  </si>
  <si>
    <t>בסך הכל - האג״ח משלמת 32 תשלומים רבעוניים לאורך חייה 32 = 4 * 8.</t>
  </si>
  <si>
    <t>בחלוף שנתיים, בוצעו 8 תשלומים (4 * 2) ונותרו לאג״ח עוד 24 תשלומים = 24 = 8 - 32</t>
  </si>
  <si>
    <t xml:space="preserve">בחודש הנוסף שחלף, לא בוצע כל תשלום נוסף (התשלומים רבעוניים). כלומר עדיין מבחינתנו יש 24 תשלומים עתידיים. </t>
  </si>
  <si>
    <t>תשלום קרוב</t>
  </si>
  <si>
    <r>
      <rPr>
        <sz val="12"/>
        <color theme="0"/>
        <rFont val="David"/>
        <family val="2"/>
        <charset val="177"/>
      </rPr>
      <t>,</t>
    </r>
    <r>
      <rPr>
        <sz val="12"/>
        <color theme="1"/>
        <rFont val="David"/>
        <family val="2"/>
        <charset val="177"/>
      </rPr>
      <t>2 + 3/12</t>
    </r>
  </si>
  <si>
    <t>הריבית במשק = אפקטיבית, המרה לרבעון</t>
  </si>
  <si>
    <t>גם אם היה כתוב ״שיעור תשואה לפדיון״ / ״שיעור תשואה על אג״ח דומות״ = במונחים אפקטיביים</t>
  </si>
  <si>
    <t>מכפלת ריבית הקופון היחסית בערך הנקוב</t>
  </si>
  <si>
    <t xml:space="preserve">10%/4 * 100 = </t>
  </si>
  <si>
    <t>Solve PV</t>
  </si>
  <si>
    <t xml:space="preserve">שלב </t>
  </si>
  <si>
    <t>מטרתו לבטא את העובדה שכאשר ביצעתי Solve PV על סדרת הקופונים, הגעתי בהגדרה לנקודת הזמן</t>
  </si>
  <si>
    <t>שהיא מוקדמת בתקופת תשלום אחת ממועד התזרים הראשון בסדרה. והואיל ומועד התזרים הראשון הוא שנתיים ורבעון;</t>
  </si>
  <si>
    <t xml:space="preserve">ופרק הזמן בין תשלומים הוא רבעון; הקפיצה רבעון אחד אחורה מובילה בדיוק לסוף השנה ה-2. </t>
  </si>
  <si>
    <t>מכיוון ששאלו אותי על הערך לתום שנתיים וחודש, עכשיו אני רוצה לגלם ריבית שתקפיץ אותי מ-2 ל-2 וחודש.</t>
  </si>
  <si>
    <t>הדרך הקלה ביותר לבצע את ההתאמה היא:</t>
  </si>
  <si>
    <t xml:space="preserve">מכפלה ב-1 ועוד הריבית בחזקה מתאימה. בשאלה נתון שהריבית השנתית היא 12.6825%. </t>
  </si>
  <si>
    <t>אני רוצה לדחוף את התוצאה 1/12 קדימה (חודש אחד):</t>
  </si>
  <si>
    <t xml:space="preserve">PV(סופי) = </t>
  </si>
  <si>
    <t xml:space="preserve">91.05 * (1 + 12.6825%)^(1/12) = </t>
  </si>
  <si>
    <t>פריט ללא גרט:</t>
  </si>
  <si>
    <t>הוצאות פחת = עלות חלקי תקופת הפחתה</t>
  </si>
  <si>
    <t>פריט עם גרט:</t>
  </si>
  <si>
    <t>הוצאות פחת = (עלות בניכוי גרט) וכל זה חלקי תקופת הפחתה</t>
  </si>
  <si>
    <t>אופן חישוב הוצאות הפחת:</t>
  </si>
  <si>
    <t>יש גרט - עלות בניכוי גרט חלקי תקופת הפחתה:</t>
  </si>
  <si>
    <t>(700,000 - 100,000)/4 = 150,000</t>
  </si>
  <si>
    <t xml:space="preserve">כאשר פריט רכוש קבוע (ציוד וכיו״ב) בתום הפרויקט, יש לחשב רווח הון. </t>
  </si>
  <si>
    <t>רווח ההון הוא ההפרש החיובי (אם הוא שלילי - זה הפסד הון)</t>
  </si>
  <si>
    <t>בין:</t>
  </si>
  <si>
    <t>א. תמורת המכירה (הנתונה)</t>
  </si>
  <si>
    <t>ב. העלות המופחתת (עלות בניכוי פחת נצבר) ערב המכירה</t>
  </si>
  <si>
    <t xml:space="preserve">700,000 - 150,000 * 4 = </t>
  </si>
  <si>
    <t>רווח הון - הפרש חיובי בין תמורה לעלות מופחתת</t>
  </si>
  <si>
    <t>הסבר מורחב לעלות מופחתת:</t>
  </si>
  <si>
    <t>בסך הכל לוקחים את העלות - 700,000</t>
  </si>
  <si>
    <t>ומנכים ממנה את המכפלה של הוצאות הפחת השנתיות 150,000</t>
  </si>
  <si>
    <t xml:space="preserve">בפרק הזמן שחלף בשנים עד המכירה - שכאן זה 4 שנים. </t>
  </si>
  <si>
    <t>אם</t>
  </si>
  <si>
    <t>מכרתי</t>
  </si>
  <si>
    <t>פריט</t>
  </si>
  <si>
    <t>ברווח,</t>
  </si>
  <si>
    <t>על החלק</t>
  </si>
  <si>
    <t>שעד</t>
  </si>
  <si>
    <t>העלות</t>
  </si>
  <si>
    <t>המופחתת</t>
  </si>
  <si>
    <t>אין מס</t>
  </si>
  <si>
    <t>ולכן</t>
  </si>
  <si>
    <t>יופיע</t>
  </si>
  <si>
    <t>למטה,</t>
  </si>
  <si>
    <t>על הרווח</t>
  </si>
  <si>
    <t>יהיה מס</t>
  </si>
  <si>
    <t>ויופיע למעלה</t>
  </si>
  <si>
    <t>סוגריים זה מינוס!!!</t>
  </si>
  <si>
    <r>
      <t xml:space="preserve">שואלים מהו </t>
    </r>
    <r>
      <rPr>
        <b/>
        <sz val="12"/>
        <color theme="1"/>
        <rFont val="David"/>
        <family val="2"/>
        <charset val="177"/>
      </rPr>
      <t>השווי היום (ערך נוכחי)</t>
    </r>
    <r>
      <rPr>
        <sz val="12"/>
        <color theme="1"/>
        <rFont val="David"/>
        <family val="2"/>
        <charset val="177"/>
      </rPr>
      <t xml:space="preserve"> אם הריבית השנתית 12%.</t>
    </r>
  </si>
  <si>
    <t>שווי ההמצאה היום</t>
  </si>
  <si>
    <t>הכולל של כלל תזרימיה</t>
  </si>
  <si>
    <t>התאמת הערך הנוכחי</t>
  </si>
  <si>
    <t>של הסדרה האינסופית מ-3 ל-0</t>
  </si>
  <si>
    <r>
      <t xml:space="preserve">for t = </t>
    </r>
    <r>
      <rPr>
        <b/>
        <sz val="12"/>
        <color theme="1"/>
        <rFont val="David"/>
        <family val="2"/>
        <charset val="177"/>
      </rPr>
      <t>3</t>
    </r>
  </si>
  <si>
    <t>באלפי ש״ח מתקיים:</t>
  </si>
  <si>
    <t xml:space="preserve">המשמעות היא שבמקרה זה, הערך הנוכחי של אינסוף תקבולים בסך 75 אלף אחד לאינסוף תקופות הוא 900. </t>
  </si>
  <si>
    <t>מפה, אפשר לחלץ ריבית / מחיר הון ששימש בחישוב ה-PV:</t>
  </si>
  <si>
    <t>התשובה א:</t>
  </si>
  <si>
    <t>הואיל והשאלה כללה</t>
  </si>
  <si>
    <t>מידע בדבר מדד הרווחיות,</t>
  </si>
  <si>
    <t>שמתי מול העיניים את הנוסחה</t>
  </si>
  <si>
    <t>של מדד הרווחיות והצבתי</t>
  </si>
  <si>
    <t>מה שאני יודע.</t>
  </si>
  <si>
    <t>התוצאה שהתקבלה היא ה-PV,</t>
  </si>
  <si>
    <t>ובהינתנה - יחד עם יתר המידע</t>
  </si>
  <si>
    <t>בדבר מספר התשלומים וגובה</t>
  </si>
  <si>
    <t>התשלום, יכולתי לחלץ את הריבית</t>
  </si>
  <si>
    <t>התקופתית.</t>
  </si>
  <si>
    <t>הסבר מוארך / שונה למעוניינים:</t>
  </si>
  <si>
    <t>כאשר שואלים ״כמה אתה מוכן לקבל (היום) במקום תשלומים עתידיים״</t>
  </si>
  <si>
    <t xml:space="preserve">תמיד עלינו לפרש זאת בתור: ״מהו הערך הנוכחי - PV השווי״ של תשלומים עתידיים אלו. </t>
  </si>
  <si>
    <t>ברגע שאני נתקל בשאלה עם הרבה מאד היגדים לא מובנים / לא מוכרים, ברמת שאלת התאוריה, אשתדל מאד</t>
  </si>
  <si>
    <t>לזהות את ההיגד המוכר ביותר, זה שמכיל מונחים הגיוניים :)</t>
  </si>
  <si>
    <t>בהקשר זה - קיים קשר ברור וחזק בין קריטריון השת״פ (IRR) לקריטריון הענ״נ (NPV) בפרויקטים של השקעות.</t>
  </si>
  <si>
    <t>כאשר פרויקט קונבנציונלי של השקעה ---&gt;</t>
  </si>
  <si>
    <t>NPV&gt;0</t>
  </si>
  <si>
    <t>אומר בהכרח ש:</t>
  </si>
  <si>
    <t>NPV&lt;0</t>
  </si>
  <si>
    <t>אנחנו נמצאים פה:</t>
  </si>
  <si>
    <t>לאו דווקא שלילי!</t>
  </si>
  <si>
    <t>תמורה נתון:</t>
  </si>
  <si>
    <t>דרך נוספת להתייחס לתזרים בשנה האחרונה, בהדגש מכירת המכונה:</t>
  </si>
  <si>
    <t>מדובר למעשה בשאלת ערך נוכחי מורכבת, שאותה אחשב ״מהסוף להתחלה״ כלומר, הטיפול יהיה</t>
  </si>
  <si>
    <t>בסדרה האינסופית תחילה, נחשב לה PV, שיעבור ל-FV של השלב הקודם בסימן הפוך, ונמשיך...</t>
  </si>
  <si>
    <t xml:space="preserve">סדרה </t>
  </si>
  <si>
    <t>סופית</t>
  </si>
  <si>
    <t>לזמן 15</t>
  </si>
  <si>
    <t>לזמן 0</t>
  </si>
  <si>
    <t>למרות שהתוצאה לכאורה שלילית</t>
  </si>
  <si>
    <t>חישבנו פה ערך נוכחי של הכנסות</t>
  </si>
  <si>
    <t xml:space="preserve">חיוביות בלבד. </t>
  </si>
  <si>
    <t xml:space="preserve">לכן מדובר ב-PV של הכנסות בלבד </t>
  </si>
  <si>
    <t xml:space="preserve">שהוא חיובי. </t>
  </si>
  <si>
    <t xml:space="preserve">כדי לחשב את ה-NPV, משקף את הערך הנוכחי הכולל המצרפי של כלל התזרימים, כולל </t>
  </si>
  <si>
    <t>ההשקעה בזמן אפס:</t>
  </si>
  <si>
    <t>כן שלילי! כסף שאני מוציא!</t>
  </si>
  <si>
    <t>שלילי</t>
  </si>
  <si>
    <t xml:space="preserve">ריבית נומינלית / כוללת </t>
  </si>
  <si>
    <t>שיעור האינפלציה הכולל</t>
  </si>
  <si>
    <t>חילוץ ריבית ריאלית</t>
  </si>
  <si>
    <t>ע״ב ריבית נומינלית ואינפלציה</t>
  </si>
  <si>
    <t>הואיל והתבססתי על נתוני ריבית נומינלית ל-3 שנים ואינפלציה ל-3 שנים,</t>
  </si>
  <si>
    <t xml:space="preserve">גם הריבית הריאלית שחולצה היא ל-3 שנים. </t>
  </si>
  <si>
    <t>כדי לתאם את שיעור הריבית ריאלית לשנה, ניעזר במעריך חזקה מתאים:</t>
  </si>
  <si>
    <t>ת. סופית</t>
  </si>
  <si>
    <t>מפגשון חזרה לקראת מועד ב - 3/3/2025</t>
  </si>
  <si>
    <t>תזכורת: במחברת הקורס יש פתרון מלא לכל 4 המבחנים לדוגמא, וכן הקלטות שלנו פותרים את רוב ככל המבחנים</t>
  </si>
  <si>
    <t>הללו - או לפחות את השאלות המהותיות.</t>
  </si>
  <si>
    <t>לכן המפגש הזה יתמקד יותר בבקשות קהל ו/או בחידודים רלוונטיים הקשורים לשאלות ״בסטייל מבחן״ כדי</t>
  </si>
  <si>
    <t>למנוע כפילויות.</t>
  </si>
  <si>
    <t>נושא 1 - אגרות חוב</t>
  </si>
  <si>
    <t>בשאלות העוסקות באגרות חוב (אג״ח) הסוגיות העיקריות הן:</t>
  </si>
  <si>
    <t>יישום מחשבון עיקרי: CMPD</t>
  </si>
  <si>
    <t>מחיר</t>
  </si>
  <si>
    <t xml:space="preserve">אג״ח </t>
  </si>
  <si>
    <t xml:space="preserve">חילוץ </t>
  </si>
  <si>
    <t>תשואה</t>
  </si>
  <si>
    <t xml:space="preserve">מגולמת </t>
  </si>
  <si>
    <t>חילוץ תשואה לתקופת השקעה</t>
  </si>
  <si>
    <t>שלב 3</t>
  </si>
  <si>
    <t>תזרימים שנותרו</t>
  </si>
  <si>
    <t>במועד ההשקעה</t>
  </si>
  <si>
    <t>במועד המכירה</t>
  </si>
  <si>
    <t>תקופת ההחזקה</t>
  </si>
  <si>
    <t>לפי הנתון</t>
  </si>
  <si>
    <t>המחושב</t>
  </si>
  <si>
    <t>ריבית אג״ח * ע״נ</t>
  </si>
  <si>
    <t>ערך נקוב (ע״נ)</t>
  </si>
  <si>
    <t>PV(שלב 2)</t>
  </si>
  <si>
    <t>PV(שלב 1)</t>
  </si>
  <si>
    <t>הדגמה:</t>
  </si>
  <si>
    <t xml:space="preserve">חברת ״אזדרכת״ הנפיקה אג״ח שערכה הנקוב 100 ש״ח, ומשלמת קופונים שנתיים בשיעור 10% בתדירות רבעונית. </t>
  </si>
  <si>
    <t xml:space="preserve">האג״ח נפדית בעוד 10 שנים. </t>
  </si>
  <si>
    <t>א. מהו מחיר האגרת במועד הנפקתה?</t>
  </si>
  <si>
    <t>ב. מהו מחיר האגרת בחלוף 3 שנים (רגע לאחר הקופון ששולם במועד זה), אם שיעור התשואה השנתי לפדיון 12%</t>
  </si>
  <si>
    <t>באותו תאריך?</t>
  </si>
  <si>
    <t>ג. מהו מחיר האג״ח בחלוף 4 שנים (רגע לפני הקופון ששולם במועד זה), אם שיעור התשואה השנתי לפדיון 14%</t>
  </si>
  <si>
    <t xml:space="preserve">ד. הניחו כעת כי המשקיע רכש את האג״ח במועד הנפקתה בעלות של 95 ש״ח. הוא החזיק בה עד לפדיונה. מהו </t>
  </si>
  <si>
    <t>ה. משקיע רכש האג״ח בחלוף שנה מהנפקתה (רגע לאחר הקופון ששולם במועד זה). שיעור התשואה השנתי לפדיון</t>
  </si>
  <si>
    <t xml:space="preserve">באותו תאריך 12%, והוא מכר אותה בחלוף 5 שנים ביחס למועד הרכישה כאשר שיעור התשואה השנתי לפדיון </t>
  </si>
  <si>
    <t xml:space="preserve">באותו תאריך 9%. מהו שיעור התשואה השנתי שהניב המשקיע בגין השקעתו באג״ח זו? </t>
  </si>
  <si>
    <t>בסך הכל 10 שנים, ובכל שנה 4 תשלומים רבעוניים</t>
  </si>
  <si>
    <t xml:space="preserve">שיעור התשואה השנתי לפדיון (=״ריבית השוק״ / ״ריבית על אג״ח דומות״) באג״ח הוא 13%. </t>
  </si>
  <si>
    <r>
      <t xml:space="preserve">שיעור תשואה שנתי לפדיון (13%) מתורגם לרבעון </t>
    </r>
    <r>
      <rPr>
        <b/>
        <sz val="12"/>
        <color theme="1"/>
        <rFont val="David"/>
        <family val="2"/>
        <charset val="177"/>
      </rPr>
      <t>עם חזקה</t>
    </r>
  </si>
  <si>
    <t>סכום הקופון: ריבית אג״ח * ע״נ = 4 / 10% * 100 = 2.5</t>
  </si>
  <si>
    <t>תשובה סופית: מחיר האג״ח: 86.30 ש״ח.</t>
  </si>
  <si>
    <t>האג״ח ל-10 שנים, אך הפעם למועד החישוב נותרו 7 שנים, שבכל אחת מהן 4 תשלומים רבעוניים</t>
  </si>
  <si>
    <r>
      <t xml:space="preserve">שיעור תשואה שנתי לפדיון (12%) מתורגם לרבעון </t>
    </r>
    <r>
      <rPr>
        <b/>
        <sz val="12"/>
        <color theme="1"/>
        <rFont val="David"/>
        <family val="2"/>
        <charset val="177"/>
      </rPr>
      <t>עם חזקה</t>
    </r>
  </si>
  <si>
    <t>תשובה סופית: מחיר האג״ח 92.87777 ש״ח.</t>
  </si>
  <si>
    <t>כאשר מבקשים חישוב מחיר אג״ח רגע לפני תשלום הקופון, כנראה הדרך הקלה ביותר היא להתעלם מהקופון המיידי,</t>
  </si>
  <si>
    <t xml:space="preserve">לחשב את מחיר האג״ח ורק אז להוסיף לו את שווי הקופון. </t>
  </si>
  <si>
    <t>האג״ח ל-10 שנים, אך הפעם למועד החישוב נותרו 6 שנים שבכל אחת מהן 4 רבעונים</t>
  </si>
  <si>
    <r>
      <t xml:space="preserve">שיעור תשואה שנתי לפדיון (14%) מתורגם לרבעון </t>
    </r>
    <r>
      <rPr>
        <b/>
        <sz val="12"/>
        <color theme="1"/>
        <rFont val="David"/>
        <family val="2"/>
        <charset val="177"/>
      </rPr>
      <t>עם חזקה</t>
    </r>
  </si>
  <si>
    <t>בחישוב ה- PV ש״מתעלם״ מהמשפט ״רגע לפני תשלום הקופון״:</t>
  </si>
  <si>
    <t>הואיל ויש כאן מקרה מיוחד של תשלום קופון מיידי, נוסיף אותו:</t>
  </si>
  <si>
    <t>סך שווי האג״ח - התשובה הסופית</t>
  </si>
  <si>
    <t>ידוע מה הסכום ששולם בהתחלה PV בעד האג״ח בסימן שלילי</t>
  </si>
  <si>
    <t>הקופון הרבעוני ללא שינוי</t>
  </si>
  <si>
    <t>הערך הנקוב שהוא סכום נוסף שהמשקיע יקבל בפדיון</t>
  </si>
  <si>
    <t>הרכישה בוצעה מיד בהנפקה, וההחזקה היא למשך כל 10 השנים</t>
  </si>
  <si>
    <t>הפעם הנעלם הוא שיעור התשואה למשקיע</t>
  </si>
  <si>
    <t>התשובה שקיבלנו עת שחילצנו %I היתה:</t>
  </si>
  <si>
    <t>כלומר, זו הריבית באחוזים.</t>
  </si>
  <si>
    <t>אבל האם זו ריבית שנתית באחוזים?</t>
  </si>
  <si>
    <t>התשובה שלילית. מדוע? כי תמיד כאשר נחלץ ריבית ע״י Solve %I התוצאה שנקבל תהיה ליחידת זמן המאפיינת</t>
  </si>
  <si>
    <t xml:space="preserve">את פרק הזמן בין תשלומים. </t>
  </si>
  <si>
    <r>
      <t xml:space="preserve">בפשטות: אם האג״ח משלמת כל רבעון, בביצוע Solve %I קיבלתי ריבית </t>
    </r>
    <r>
      <rPr>
        <b/>
        <sz val="12"/>
        <color theme="1"/>
        <rFont val="David"/>
        <family val="2"/>
        <charset val="177"/>
      </rPr>
      <t>רבעונית</t>
    </r>
    <r>
      <rPr>
        <sz val="12"/>
        <color theme="1"/>
        <rFont val="David"/>
        <family val="2"/>
        <charset val="177"/>
      </rPr>
      <t xml:space="preserve">. </t>
    </r>
  </si>
  <si>
    <r>
      <rPr>
        <b/>
        <u/>
        <sz val="12"/>
        <color theme="1"/>
        <rFont val="David"/>
        <family val="2"/>
        <charset val="177"/>
      </rPr>
      <t>שיעור התשואה השנתי</t>
    </r>
    <r>
      <rPr>
        <sz val="12"/>
        <color theme="1"/>
        <rFont val="David"/>
        <family val="2"/>
        <charset val="177"/>
      </rPr>
      <t xml:space="preserve"> שהניב המשקיע בגין השקעתו באג״ח זו?</t>
    </r>
  </si>
  <si>
    <t>הואיל והנדרש דרש שיעור תשואה שנתי, עליי לבצע פעולה אחת נוספת - להמרת התשואה הרבעונית לשנתית - עם מעריך חזקה מתאים:</t>
  </si>
  <si>
    <t>התשובה הסופית: שיעור התשואה השנתי למשקיע הוא:</t>
  </si>
  <si>
    <t>סעיף ד</t>
  </si>
  <si>
    <t xml:space="preserve">הואיל ובשאלה אינני יודע בכמה קניתי; בכמה מכרתי; ועליי לדעת מהי </t>
  </si>
  <si>
    <t xml:space="preserve">התשואה, עליי להתחיל בשלבי חישוב עלות הרכישה (שלב 1) </t>
  </si>
  <si>
    <t>ומחיר המכירה (שלב 2)</t>
  </si>
  <si>
    <t>ורק לאחר שהם בידי - אחלץ את התשואה במהלך ההחזקה.</t>
  </si>
  <si>
    <t>Solve (1,2)</t>
  </si>
  <si>
    <t>Solve (3)</t>
  </si>
  <si>
    <t>קיבלנו ששיעור התשואה הרבעוני באחוזים:</t>
  </si>
  <si>
    <t>כדי להמירו למונחים שנתיים:</t>
  </si>
  <si>
    <t>התשובה הסופית: שיעור התשואה השנתי למשקיע לאורך תקופת החזקתו הנו:</t>
  </si>
  <si>
    <t>נושא 2 - ערך נוכחי של מספר סדרות</t>
  </si>
  <si>
    <t>חישובי ערך נוכחי יכולים להדרש בין היתר במקרים הבאים:</t>
  </si>
  <si>
    <t xml:space="preserve">א. שאלה שממש שואלת ״מהו הערך הנוכחי״. </t>
  </si>
  <si>
    <t>ב. שאלה ששואלת ״מה המחיר היום״ / ״מה השווי היום״ / ״מה המשקיע יסכים לשלם היום״ / ״מה המחיר המינימלי</t>
  </si>
  <si>
    <t>שידרש בעד הנכס״ / ״מה המחיר המקסימלי שישולם בעד הנכס״.</t>
  </si>
  <si>
    <t xml:space="preserve">ג. כחלק מעסקה מתוחכמת יותר / שאלות שמשלבות בין ערך נוכחי ועתידי. </t>
  </si>
  <si>
    <t xml:space="preserve">אנחנו רוצים להתמקד ספציפית במנגנון של ערך נוכחי במקרה טכני מורכב; מקרה שבו אני יודע שחישוב הערך </t>
  </si>
  <si>
    <t>הנוכחי מצריך התאמות וביצוע ב״שלבים״ כדי להגיע לתוצאה רלוונטית.</t>
  </si>
  <si>
    <t>הדגמה קצת קשה אבל להמחשת העקרון והאימון:</t>
  </si>
  <si>
    <t>קוקי זכאי להשקיע בנכס שצפוי להניב לו בתום כל רבעון במשך 5 השנים הקרובות סכום של 20,000 ש״ח.</t>
  </si>
  <si>
    <t>בתום כל שנה לאחר מכן, עד וכולל תום השנה ה-14, יקבל קוקי סכום שנתי של 25,000 ש״ח.</t>
  </si>
  <si>
    <t xml:space="preserve">בתום כל חודש במהלך השנה ה-15, יקבל סכום קבוע על בסיס חודשי של 4,000 ש״ח. </t>
  </si>
  <si>
    <t xml:space="preserve">להלן נתוני ריבית. עליכם לחשב את הערך הנוכחי. </t>
  </si>
  <si>
    <t>ריבית שנתית אפקטיבית</t>
  </si>
  <si>
    <r>
      <t xml:space="preserve">מתודה: ערך נוכחי מורכב (כמה סדרות, שינויי סכומים, שינויי ריבית) = </t>
    </r>
    <r>
      <rPr>
        <b/>
        <sz val="12"/>
        <color theme="1"/>
        <rFont val="David"/>
        <family val="2"/>
        <charset val="177"/>
      </rPr>
      <t>עובד מהסוף להתחלה</t>
    </r>
    <r>
      <rPr>
        <sz val="12"/>
        <color theme="1"/>
        <rFont val="David"/>
        <family val="2"/>
        <charset val="177"/>
      </rPr>
      <t xml:space="preserve">. </t>
    </r>
  </si>
  <si>
    <t>בשנה ה-15</t>
  </si>
  <si>
    <t>כל חודש</t>
  </si>
  <si>
    <t>שנים 11-14</t>
  </si>
  <si>
    <t>כל שנה</t>
  </si>
  <si>
    <r>
      <t xml:space="preserve">בתום השנה ה-14, יקבל בנוסף לסכום השנתי </t>
    </r>
    <r>
      <rPr>
        <b/>
        <sz val="12"/>
        <color theme="1"/>
        <rFont val="David"/>
        <family val="2"/>
        <charset val="177"/>
      </rPr>
      <t>מענק חד פעמי בסכום של 60,000 ש״ח.</t>
    </r>
    <r>
      <rPr>
        <sz val="12"/>
        <color theme="1"/>
        <rFont val="David"/>
        <family val="2"/>
        <charset val="177"/>
      </rPr>
      <t xml:space="preserve"> </t>
    </r>
  </si>
  <si>
    <t>שנים 6-10</t>
  </si>
  <si>
    <t>שנים 3-5</t>
  </si>
  <si>
    <t>כל רבעון</t>
  </si>
  <si>
    <t>שנים 1-2</t>
  </si>
  <si>
    <t>הערך הנוכחי של ההסדר כולו הוא:</t>
  </si>
  <si>
    <t>סוגיה 3 - יתרת הלוואה בהינתן הצמדה למדד</t>
  </si>
  <si>
    <t xml:space="preserve">מר טלקר נטל הלוואה בסך 500,000 ש״ח שצמודה למדד המחירים לצרכן. </t>
  </si>
  <si>
    <t xml:space="preserve">ההלוואה נושאת ריבית שנתית (שגם היא צמודה) בשיעור של 10% לשנה. </t>
  </si>
  <si>
    <t xml:space="preserve">ההלוואה נפרעת בתשלומים חודשיים שווים (לוח סילוקין שפיצר) במשך 12 שנים. </t>
  </si>
  <si>
    <t>מהי יתרת ההלוואה (כולל רכיב ההצמדה) בחלוף 4 שנים ו-3 חודשים (רגע לאחר התשלום), אם ידוע שהמדד</t>
  </si>
  <si>
    <t xml:space="preserve">במועד נטילת ההלוואה הוא 107, והמדד בחלוף 4 שנים ו-3 חודשים הוא 111.3. </t>
  </si>
  <si>
    <t>הגדרה כללית - הלוואות שפיצר:</t>
  </si>
  <si>
    <t>בכל התקלות בלוח שפיצר, ישנן 2 סוגיות מרכזיות לדיון:</t>
  </si>
  <si>
    <t>סוגיה א:</t>
  </si>
  <si>
    <t xml:space="preserve">חילוץ התשלום התקופתי הקבוע - שימוש ב-CMPD לשם חילוץ ה-PMT. </t>
  </si>
  <si>
    <t>סוגיה ב:</t>
  </si>
  <si>
    <t>חילוץ ערך ספציפי מלוח הסילוקין - באמצעות AMRT:</t>
  </si>
  <si>
    <t>INT</t>
  </si>
  <si>
    <t>סכום ריבית שנכלל בתשלום ספציפי.</t>
  </si>
  <si>
    <t>PRN</t>
  </si>
  <si>
    <t>התשלום על חשבון הקרן שנכלל בתשלום ספציפי.</t>
  </si>
  <si>
    <t xml:space="preserve">יתרת ההלוואה (יתרת הקרן) לאחר תשלום ספציפי. </t>
  </si>
  <si>
    <t xml:space="preserve">טיפ: לא משנה על מה שואלים - הטיפול בסוגיה א (חילוץ ה-PMT) בלוח שפיצר - הוא מתחייב. </t>
  </si>
  <si>
    <t>סכום ההלוואה במועד נטילתה בסימן חיובי</t>
  </si>
  <si>
    <t>בהלוואת שפיצר, ללא תשלום / תקבול חד פעמי בסיום העסקה</t>
  </si>
  <si>
    <t>ריבית לתקופת תשלום - הריבית לא נקובה, לא נאמר משפט כגון ״מחושבת כל חודש״</t>
  </si>
  <si>
    <t>מספר התשלומים - מדובר ב-12 שנים שבכל אחת מהן 12 תשלומים חודשיים 144 = 12 * 12</t>
  </si>
  <si>
    <t>תשלום ע״ח הקרן - ספציפי</t>
  </si>
  <si>
    <t>תשלום ע״ח ריבית - ספציפי</t>
  </si>
  <si>
    <t>יתרת קרן</t>
  </si>
  <si>
    <t>מספר התשלום</t>
  </si>
  <si>
    <t xml:space="preserve">זוהי יתרת ההלוואה הריאלית לאחר 4 שנים ו-3 חודשים. במונח ״ריאלי״ אנו מתכוונים לכך שלא שיקפנו עדיין את השפעת ההצמדה (העלייה במדד) </t>
  </si>
  <si>
    <t>על הערך.</t>
  </si>
  <si>
    <t>כדי לקבל תשובה סופית של יתרת ההלוואה בהתחשב בהצמדה (נקראת גם ״יתרה נומינלית״) עלינו לכפול את היתרה הזו ביחס בין המדד העדכני למדד</t>
  </si>
  <si>
    <t>הבסיסי במועד נטילת ההלוואה.</t>
  </si>
  <si>
    <t>BAL(Zamud) = 383,230.87 * 111.3/107 =</t>
  </si>
  <si>
    <t>התשובה - יתרת ההלוואה בחלוף 4 שנים ו-3 חודשים</t>
  </si>
  <si>
    <t>ערך נוכחי PV, כולל בהקשר להלוואות</t>
  </si>
  <si>
    <t>כולל בהקשר לחישוב מחיר</t>
  </si>
  <si>
    <t xml:space="preserve">כולל בהקשר לחישוב אג״ח </t>
  </si>
  <si>
    <t>זה כשליש מבחן.</t>
  </si>
  <si>
    <t>וכולל המרות ריבית!</t>
  </si>
  <si>
    <t>תרגול 1 / מחברת הקורס ״עקרונות המימון״ - ד״ר שי צבאן, סמסטר 2025ג</t>
  </si>
  <si>
    <r>
      <t xml:space="preserve">היום </t>
    </r>
    <r>
      <rPr>
        <b/>
        <sz val="12"/>
        <color theme="1"/>
        <rFont val="David"/>
        <family val="2"/>
        <charset val="177"/>
      </rPr>
      <t>1/4/2024</t>
    </r>
  </si>
  <si>
    <t>ריבית חודשית נתונה 1%</t>
  </si>
  <si>
    <r>
      <t xml:space="preserve">של סכומים קבועים (סדרה) או </t>
    </r>
    <r>
      <rPr>
        <b/>
        <sz val="12"/>
        <color theme="1"/>
        <rFont val="David"/>
        <family val="2"/>
        <charset val="177"/>
      </rPr>
      <t>סכום בודד</t>
    </r>
    <r>
      <rPr>
        <sz val="12"/>
        <color theme="1"/>
        <rFont val="David"/>
        <family val="2"/>
        <charset val="177"/>
      </rPr>
      <t>:</t>
    </r>
  </si>
  <si>
    <t>שיק 123 - בסך 10,000, נפרע עוד חודש</t>
  </si>
  <si>
    <t>Csh. D. Editor &gt;&gt;&gt;&gt;</t>
  </si>
  <si>
    <t>כדי לצאת מהטבלה</t>
  </si>
  <si>
    <t>שווים נכון ליום 1.4.2024</t>
  </si>
  <si>
    <t>לצד קלות היישום של שימוש ב-CASHלעיל, כשקיימים תזרימים רבים היא עלולה להיות ארוכה. לכן, נרצה גם קיצור דרך</t>
  </si>
  <si>
    <t xml:space="preserve">כאן: פרויקט זק״ש כלל תזרים ראשון בזמן 1, ולכן הקפיצה ״אחת אחורה״ הובילה לזמן 0 </t>
  </si>
  <si>
    <t>כל שינוי</t>
  </si>
  <si>
    <t>בפרמטרים</t>
  </si>
  <si>
    <t>המצריך חישוב</t>
  </si>
  <si>
    <t>מחדש</t>
  </si>
  <si>
    <t>מצדיק לחיצה</t>
  </si>
  <si>
    <t xml:space="preserve">נוספת על </t>
  </si>
  <si>
    <t>EXE &gt;&gt;&gt;</t>
  </si>
  <si>
    <t>&lt;&lt;&lt;&lt;ESC&lt;&lt;&lt;</t>
  </si>
  <si>
    <r>
      <t xml:space="preserve">בהנחה שההפקדות הן בתום כל שנה, </t>
    </r>
    <r>
      <rPr>
        <b/>
        <u/>
        <sz val="12"/>
        <color theme="1"/>
        <rFont val="David"/>
        <family val="2"/>
        <charset val="177"/>
      </rPr>
      <t>מהו הסכום הכולל שיצטבר בכל אחת מהתוכניות בתום התקופה</t>
    </r>
    <r>
      <rPr>
        <sz val="12"/>
        <color theme="1"/>
        <rFont val="David"/>
        <family val="2"/>
        <charset val="177"/>
      </rPr>
      <t xml:space="preserve"> בכל אחת מהן</t>
    </r>
  </si>
  <si>
    <t>כשם שערך נוכחי PV של סדרה מבטא את ערכה לנקודת הזמן ״אחת אחורה״</t>
  </si>
  <si>
    <t>קיים גם כלל בחישוב FV של סדרה:</t>
  </si>
  <si>
    <t>ערך עתידי FV של סדרה מבטא את ערכה למועד ההפקדה האחרונה</t>
  </si>
  <si>
    <t>איפוס</t>
  </si>
  <si>
    <t>shift 9 , down arrow * 2, EXE * 2, AC</t>
  </si>
  <si>
    <r>
      <t xml:space="preserve">בהנחה שההפקדות הן </t>
    </r>
    <r>
      <rPr>
        <b/>
        <u/>
        <sz val="12"/>
        <color theme="1"/>
        <rFont val="David"/>
        <family val="2"/>
        <charset val="177"/>
      </rPr>
      <t>בתחילת</t>
    </r>
    <r>
      <rPr>
        <sz val="12"/>
        <color theme="1"/>
        <rFont val="David"/>
        <family val="2"/>
        <charset val="177"/>
      </rPr>
      <t xml:space="preserve"> כל שנה, מהו הסכום הכולל שיצטבר בכל אחת מהתוכניות בתום כל תוכנית,</t>
    </r>
  </si>
  <si>
    <t>בלוח שפיצר</t>
  </si>
  <si>
    <t>הוא ה-PV</t>
  </si>
  <si>
    <t>של סדרת ההחזרים</t>
  </si>
  <si>
    <r>
      <t xml:space="preserve">בריבית </t>
    </r>
    <r>
      <rPr>
        <b/>
        <u/>
        <sz val="12"/>
        <color theme="1"/>
        <rFont val="David"/>
        <family val="2"/>
        <charset val="177"/>
      </rPr>
      <t>נקובה</t>
    </r>
    <r>
      <rPr>
        <sz val="12"/>
        <color theme="1"/>
        <rFont val="David"/>
        <family val="2"/>
        <charset val="177"/>
      </rPr>
      <t xml:space="preserve"> שנתית של 12% הנפרעת בתשלומים חודשיים שווים של קרן וריבית (שפיצר) במשך 10 שנים.</t>
    </r>
  </si>
  <si>
    <t>רמז - תחילה חלצו את ה-PMT.... רק אז להמשיך...</t>
  </si>
  <si>
    <t>לחמש שנים, עם החזר כל חודש 5*12</t>
  </si>
  <si>
    <t>PMT=77.33</t>
  </si>
  <si>
    <r>
      <t xml:space="preserve">ולאחר מכן מחשבים את היתרה על בסיס הערך הנוכחי של התשלומים </t>
    </r>
    <r>
      <rPr>
        <b/>
        <u/>
        <sz val="12"/>
        <color theme="1"/>
        <rFont val="David"/>
        <family val="2"/>
        <charset val="177"/>
      </rPr>
      <t>שנותרו</t>
    </r>
    <r>
      <rPr>
        <sz val="12"/>
        <color theme="1"/>
        <rFont val="David"/>
        <family val="2"/>
        <charset val="177"/>
      </rPr>
      <t>, שמתחשב במספר התשלומים</t>
    </r>
  </si>
  <si>
    <t>מירב רכשה מכונה לחימום נקניק לעובדי המשרד בעלות של 500,000 ש״ח. ההלוואה נושאת ריבית נקובה שנתית בשיעור 12%</t>
  </si>
  <si>
    <t>בלוח סילוקין רגיל, בשונה משפיצר - אין קיצורי דרך מחשבוניים (CMPD/AMRT). צריך להתבסס על ההיגיון שלפיו יתרת ההלוואה</t>
  </si>
  <si>
    <t>נתון: סכום הלוואה 500,000 = LOAN</t>
  </si>
  <si>
    <t>נתון: החזרים כל חודש, 8 שנים n=96</t>
  </si>
  <si>
    <t>נתון: נדרשת היתרה לזמן 54</t>
  </si>
  <si>
    <t>ומה לגבי הריבית? לא רלוונטי! כשנדרשת</t>
  </si>
  <si>
    <t>יתרת הקרן.</t>
  </si>
  <si>
    <t>חישוב סך התשלום התקופתי בהלוואת לוח רגיל</t>
  </si>
  <si>
    <t>כתומי נטלה הלוואה בסך 100,000 ש״ח למימון מכונת נקניק לעובדים.</t>
  </si>
  <si>
    <t xml:space="preserve">הריבית השנתית הנקובה 12% וההחזרים הם בתשלומים חודשיים במשך 10 שנים, בשיטת לוח סילוקין רגיל. </t>
  </si>
  <si>
    <t>מהו התשלום הכולל שיבוצע (קרן + ריבית) בתשלום ה-48?</t>
  </si>
  <si>
    <t>תשלום קבוע (בלוח רגיל) על חשבון קרן:</t>
  </si>
  <si>
    <t xml:space="preserve">LOAN/n = 100,000 / 120 = </t>
  </si>
  <si>
    <t>תשלום על חשבון הריבית:</t>
  </si>
  <si>
    <t>בכל מועד תשלום רכיב הריבית מחושב:</t>
  </si>
  <si>
    <t>יתרת קרן (BAL) לתקופה הקודמת * r</t>
  </si>
  <si>
    <t>כאן שאלו על הריבית בזמן 48. עבורה, אני זקוק ליתרת ההלוואה לזמן 47.</t>
  </si>
  <si>
    <t>BAL(47) = LOAN/n * (n - t)</t>
  </si>
  <si>
    <t xml:space="preserve">BAL(47) = 100,000/120 * (120 - 47) = </t>
  </si>
  <si>
    <t xml:space="preserve">60,833.33 * 1% = </t>
  </si>
  <si>
    <t>סך התשלום בזמן 48 - קרן + ריבית:</t>
  </si>
  <si>
    <t>הריבית בזמן 48 היא מכפלת יתרה זו (47) באחוז הריבית:</t>
  </si>
  <si>
    <t xml:space="preserve">833.33 + 608.333 = </t>
  </si>
  <si>
    <t>14/8+21/8</t>
  </si>
  <si>
    <t>על מסמך זה נשען תרגול 2 (חלק 2)</t>
  </si>
  <si>
    <t>בהקשר ללוחות סילוקין</t>
  </si>
  <si>
    <t>החל מהנקודה הדנה בחישובי ריבית</t>
  </si>
  <si>
    <t>דנו בתרגול 3 - 21/8</t>
  </si>
  <si>
    <t>כאן התחיל תרגול 3 - 21/8</t>
  </si>
  <si>
    <r>
      <t xml:space="preserve">רקע קצר - חישובי ריבית - </t>
    </r>
    <r>
      <rPr>
        <b/>
        <u/>
        <sz val="18"/>
        <color theme="1"/>
        <rFont val="David"/>
        <family val="2"/>
        <charset val="177"/>
      </rPr>
      <t>חישוב ריבית אפקטיבית</t>
    </r>
  </si>
  <si>
    <r>
      <t xml:space="preserve">ההגדרה הפשטנית ביותר של ריבית אפקטיבית - היא הריבית </t>
    </r>
    <r>
      <rPr>
        <b/>
        <u/>
        <sz val="12"/>
        <color theme="1"/>
        <rFont val="David"/>
        <family val="2"/>
        <charset val="177"/>
      </rPr>
      <t>האמיתית בעסקה - בהתחשב במכלול היבטיה</t>
    </r>
    <r>
      <rPr>
        <sz val="12"/>
        <color theme="1"/>
        <rFont val="David"/>
        <family val="2"/>
        <charset val="177"/>
      </rPr>
      <t>.</t>
    </r>
  </si>
  <si>
    <r>
      <t xml:space="preserve">הפרופורציה (באחוזים, יחסי) בין </t>
    </r>
    <r>
      <rPr>
        <b/>
        <sz val="12"/>
        <color rgb="FF00B050"/>
        <rFont val="David"/>
        <family val="2"/>
        <charset val="177"/>
      </rPr>
      <t>הרווח</t>
    </r>
    <r>
      <rPr>
        <b/>
        <sz val="12"/>
        <color theme="1"/>
        <rFont val="David"/>
        <family val="2"/>
        <charset val="177"/>
      </rPr>
      <t xml:space="preserve"> / </t>
    </r>
    <r>
      <rPr>
        <b/>
        <sz val="12"/>
        <color rgb="FFFF0000"/>
        <rFont val="David"/>
        <family val="2"/>
        <charset val="177"/>
      </rPr>
      <t>הוצאות מימון</t>
    </r>
    <r>
      <rPr>
        <b/>
        <sz val="12"/>
        <color theme="1"/>
        <rFont val="David"/>
        <family val="2"/>
        <charset val="177"/>
      </rPr>
      <t xml:space="preserve"> (</t>
    </r>
    <r>
      <rPr>
        <b/>
        <sz val="12"/>
        <color rgb="FF00B050"/>
        <rFont val="David"/>
        <family val="2"/>
        <charset val="177"/>
      </rPr>
      <t>בהשקעה</t>
    </r>
    <r>
      <rPr>
        <b/>
        <sz val="12"/>
        <color theme="1"/>
        <rFont val="David"/>
        <family val="2"/>
        <charset val="177"/>
      </rPr>
      <t xml:space="preserve"> / </t>
    </r>
    <r>
      <rPr>
        <b/>
        <sz val="12"/>
        <color rgb="FFFF0000"/>
        <rFont val="David"/>
        <family val="2"/>
        <charset val="177"/>
      </rPr>
      <t>בהלוואה</t>
    </r>
    <r>
      <rPr>
        <b/>
        <sz val="12"/>
        <color theme="1"/>
        <rFont val="David"/>
        <family val="2"/>
        <charset val="177"/>
      </rPr>
      <t>) בין סכום הריבית בש״ח לבין קרן ההשקעה</t>
    </r>
  </si>
  <si>
    <t>במלים אחרות, אם אני נוטל היום הלוואה בסך 100 ש״ח ומחזיר בעוד שנה 110 ש״ח, הריבית האפקטיבית תהיה 10% לשנה.</t>
  </si>
  <si>
    <t>המטרה שלנו היא לגלות את הריבית האפקטיבית במצבים שבהם רכיבי עלויות המימון בעסקה הם כדלקמן:</t>
  </si>
  <si>
    <t>א. ריבית נקובה / חוזית = הריבית ש״כתובה״ בהסדר. ״ההלוואה נושאת ריבית נקובה (חוזית) בשיעור 10% לשנה״.</t>
  </si>
  <si>
    <t>ב. ריבית דריבית = כאשר ההלוואה נושאת ריבית המחושבת ״כל חודש״ / ״כל חצי שנה״ ... מתקיים מנגנון ריבית דריבית, שמשפיע על עלות המימון הכוללת - על הריבית האפקטיבית.</t>
  </si>
  <si>
    <t>ג. ריבית מראש / עמלות מראש / ניכויים = אם מדובר במצב שבו הריבית משולמת מראש ; או עמלה מראש (עמלת עריכת מסמכים וכו׳); הרי שמדובר בחלק מעלויות המימון בעסקה</t>
  </si>
  <si>
    <t xml:space="preserve">ויש להביא בחשבון את סכומן ואת עיתויין. </t>
  </si>
  <si>
    <t>תרגיל הגשה 2 שאלה 5</t>
  </si>
  <si>
    <t>שאלה 6 - חישוב ריבית אפקטיבית והתאמת תקופתה כשנתונים שני תזרימים בלבד בעסקה</t>
  </si>
  <si>
    <t>במקרה זה, דנים בריבית (תוספת התשלום) שתנבע מדחיית התשלום ב-3 חודשים:</t>
  </si>
  <si>
    <t>דרך קצת יותר אלגנטית:</t>
  </si>
  <si>
    <t>אפשר פשוט לחשב את הפרופורציה בין התשלום בתום התקופה</t>
  </si>
  <si>
    <t>לבין הקרן / סכום האשראי, פחות 1:</t>
  </si>
  <si>
    <t>תחילה, אתייחס לנתוני העסקה, לתקופת העסקה, ואחשב ריבית אפקטיבית עבורם:</t>
  </si>
  <si>
    <t>כאשר ברשותי הריבית האפקטיבית לתקופה כלשהי (גם אם היא 3 חודשים),</t>
  </si>
  <si>
    <t xml:space="preserve">אזי ככל שנדרש להמירה לתקופה אחרת (וכאן נדרש להמיר לשנה - כי זה </t>
  </si>
  <si>
    <t>מה שביקשו בשאלה) ההמרה תבוצע עם מעריך חזקה מתאים:</t>
  </si>
  <si>
    <t>ההמרה מריבית אפקטיבית לתקופה מסוימת לריבית אפקטיבית לתקופה</t>
  </si>
  <si>
    <t>אחרת מבוצע באמצעות מעריך חזקה שהוא היחס בין התקופה הנדרשת</t>
  </si>
  <si>
    <t xml:space="preserve">לתקופה הקיימת. כלומר: כאן צריך ריבית לשנה, בשלב קודם היתה לי </t>
  </si>
  <si>
    <t xml:space="preserve">ריבית לרבעון, בשנה יש 4 רבעונים, המעריך 4. </t>
  </si>
  <si>
    <t>התהליך להלן יתייחס רק למצב שבו העסקה כוללת שני תזרימים בלבד שהנם נתונים / ניתנים לחילוץ:</t>
  </si>
  <si>
    <t>מקביל לשאלה 3 בתרגיל בית 2</t>
  </si>
  <si>
    <t xml:space="preserve">שאלה 7 - ריבית אפקטיבית - במצבים שונים (נקובה, מחושבת כל, מראש) - כלל ערכי הריבית אחוזיים </t>
  </si>
  <si>
    <t>מהי הריבית האפקטיבית השנתית בכל אחד מ-6 המקרים הבאים:</t>
  </si>
  <si>
    <r>
      <t xml:space="preserve">א. הריבית (הנקובה) היא 10% לשנה </t>
    </r>
    <r>
      <rPr>
        <b/>
        <u/>
        <sz val="12"/>
        <color theme="1"/>
        <rFont val="David"/>
        <family val="2"/>
        <charset val="177"/>
      </rPr>
      <t>בחישוב חצי שנתי</t>
    </r>
  </si>
  <si>
    <r>
      <t xml:space="preserve">ב. הריבית (הנקובה) היא 6% לשנה </t>
    </r>
    <r>
      <rPr>
        <b/>
        <u/>
        <sz val="12"/>
        <color theme="1"/>
        <rFont val="David"/>
        <family val="2"/>
        <charset val="177"/>
      </rPr>
      <t>בחישוב חודשי</t>
    </r>
  </si>
  <si>
    <r>
      <t xml:space="preserve">ג. הריבית (הנקובה) היא 12% לשנה </t>
    </r>
    <r>
      <rPr>
        <b/>
        <u/>
        <sz val="12"/>
        <color theme="1"/>
        <rFont val="David"/>
        <family val="2"/>
        <charset val="177"/>
      </rPr>
      <t>בחישוב רבעוני</t>
    </r>
  </si>
  <si>
    <t>מה זה אומר ריבית נקובה שנתית 10% מחושבת כל חצי שנה?</t>
  </si>
  <si>
    <t>נתייחס לקרן כאל ערך סמלי של 1</t>
  </si>
  <si>
    <t>או 100% מהסכום הראשוני</t>
  </si>
  <si>
    <t xml:space="preserve"> ש״ח 1</t>
  </si>
  <si>
    <t xml:space="preserve">מחושבת חצי שנתית = </t>
  </si>
  <si>
    <t>אחרי חצי שנה הבנק עוצר ומוסיף את הריבית לחוב</t>
  </si>
  <si>
    <t>יתרה:</t>
  </si>
  <si>
    <t>טיפוס: ריבית נקובה המחושבת כריבית דריבית</t>
  </si>
  <si>
    <t>כאשר הריבית נתונה ללא תיאור ״נקובה״ וללא אזכור של אורך תקופת החישוב, זו כבר ריבית בסיס, לכן לא תבוצע חלוקה
וכל ההתאמה לתקופה אחרת תבוצע באמצעות מעריך החזקה בלבד.</t>
  </si>
  <si>
    <t>ואת הריבית בגינה בשיעור 10%</t>
  </si>
  <si>
    <t>יש לשלם מראש, מיד בתחילת העסקה.</t>
  </si>
  <si>
    <t xml:space="preserve">המחשה - נניח שנטלתי הלוואה בסך 100 ש״ח </t>
  </si>
  <si>
    <t>הרחבה: אותם נתונים
אך נדרשת ריבית אפקטיבית
ל-9 חודשים (3 רבעונים)</t>
  </si>
  <si>
    <t>ריבית נקובה המחושבת כל...</t>
  </si>
  <si>
    <t>ריבית נקובה נתונה: 6%</t>
  </si>
  <si>
    <t>המכנה: מספר תקופות חישוב הריבית [כאן: מס׳ החודשים] בתקופת הריבית הנקובה הנתונה [כאן: בחצי שנה] לכן 6</t>
  </si>
  <si>
    <t>המעריך: מספר תקופות חישוב הריבית [כאן: מס׳ החודשים] בתקופה הנדרשת (כאן רצו לחשב ריבית אפקטיבית לשנה). לכן 12</t>
  </si>
  <si>
    <t>תרגיל בית 2, שאלה 4</t>
  </si>
  <si>
    <t>עולה השאלה - מה פשר הנתון של ״הלוואה ל-8 חודשים״ אך נדרש המבקש ״ריבית אפקטיבית לשנה״?</t>
  </si>
  <si>
    <t xml:space="preserve">זה לגמרי נכון לומר שסכום הריבית שישולם בפועל קשור בקשר ישיר לתקופת העסקה. עסקאות ארוכות יותר צוברות ריבית גבוהה יותר ולהפך (בש״ח). </t>
  </si>
  <si>
    <t>יחד עם זאת, מאד מקובל בשוק ההון והאשראי לייצג ערכי ריבית במונחים שנתיים. כך, אם אני מבצע דחיית תשלום אשראי בחודש בכרטיס אשראי,</t>
  </si>
  <si>
    <r>
      <t>בגילוי הנאות יתנו מידע לגבי ריבית אפקטיבית לשנה</t>
    </r>
    <r>
      <rPr>
        <u/>
        <sz val="12"/>
        <rFont val="David"/>
        <family val="2"/>
        <charset val="177"/>
      </rPr>
      <t xml:space="preserve"> גם אם העסקה היא לחודש אחד</t>
    </r>
    <r>
      <rPr>
        <sz val="12"/>
        <rFont val="David"/>
        <family val="2"/>
        <charset val="177"/>
      </rPr>
      <t>. ובמשכנתאות לעשרות שנים - יציידו אותי בריבית אפקטיבית</t>
    </r>
  </si>
  <si>
    <t xml:space="preserve">לשנה אחת, גם אם העסקה עצמה ל-20 שנה. </t>
  </si>
  <si>
    <t>במלים אחרות - בשאלה שכוללת נתוני ריבית באחוזים הדורשים המרה וחישוב ריבית שנתית, תהליך העבודה שלנו לחישוב ריבית שנתית זו</t>
  </si>
  <si>
    <t xml:space="preserve">לא מושפע כלל מתקופת העסקה. </t>
  </si>
  <si>
    <t>ריבית נקובה המחושבת כל.... תן לי ריבית אפקטיבית לשנה =====</t>
  </si>
  <si>
    <t>====</t>
  </si>
  <si>
    <t>נחשב לשנה, ללא תלות בתקופת העסקה</t>
  </si>
  <si>
    <r>
      <t xml:space="preserve">קיבלתם הלוואה בריבית נקובה של 20% לשנה המחושבת כל חודש. ההלוואה ל-8 חודשים. </t>
    </r>
    <r>
      <rPr>
        <b/>
        <sz val="12"/>
        <color rgb="FFFF0000"/>
        <rFont val="David"/>
        <family val="2"/>
        <charset val="177"/>
      </rPr>
      <t>מהי הריבית האפקטיבית</t>
    </r>
  </si>
  <si>
    <t>הנוסחה העקרונית לחישוב ריבית אפקטיבית על בסיס נתוני ריבית מראש היא הנוסחה להלן:</t>
  </si>
  <si>
    <t>כאשר</t>
  </si>
  <si>
    <t>re</t>
  </si>
  <si>
    <t>d = 30%</t>
  </si>
  <si>
    <t>מייצג את שיעור הריבית / שיעור הניכוי מראש לתקופה מסוימת (כאן - ל-5 שנים)</t>
  </si>
  <si>
    <t>מייצג את הריבית האפקטיבית לתקופת d (כאן - מקבלים ריבית אפקטיבית ל-5 שנים)</t>
  </si>
  <si>
    <t>כך קיבלתי ריבית אפקטיבית לתקופת d, ל-5 שנים:</t>
  </si>
  <si>
    <t>אופן ההמרה של ריבית אפקטיבית מתקופה לתקופה תמיד יבוצע על ידי מעריך חזקה מתאים בלבד, כאשר המעריך</t>
  </si>
  <si>
    <t xml:space="preserve">יהיה היחס בין התקופה הנדרשת (שנה אחת) לבין התקופה שגילינו (5 שנים). </t>
  </si>
  <si>
    <t>בקצרה:</t>
  </si>
  <si>
    <t xml:space="preserve">בשאלות שבהן שיעור הניכוי מראש הוא לתקופה שונה משנה, ואני צריך ריבית אפקטיבית לשנה, </t>
  </si>
  <si>
    <t>אחשב על בסיס הניכוי מראש את הריבית לתקופת d ואז אמיר בחזקה מתאימה לשנה.</t>
  </si>
  <si>
    <r>
      <t xml:space="preserve">כאן מתחיל בפועל תרגול 4 - 28/8/2025 - </t>
    </r>
    <r>
      <rPr>
        <b/>
        <sz val="18"/>
        <color theme="1"/>
        <rFont val="David"/>
        <family val="2"/>
        <charset val="177"/>
      </rPr>
      <t>אג״ח</t>
    </r>
    <r>
      <rPr>
        <b/>
        <sz val="12"/>
        <color theme="1"/>
        <rFont val="David"/>
        <family val="2"/>
        <charset val="177"/>
      </rPr>
      <t xml:space="preserve"> - (את ההרחבות לתרגילים אחרים השארתי לנוחותכם במידת הצורך)</t>
    </r>
  </si>
  <si>
    <t>הכי קצר בעולם:</t>
  </si>
  <si>
    <t>כדי להבין אג״ח</t>
  </si>
  <si>
    <t>המשולמים למשקיע בגינם</t>
  </si>
  <si>
    <t>**</t>
  </si>
  <si>
    <t xml:space="preserve">שעל בסיסה יחושב שווי האג״ח - </t>
  </si>
  <si>
    <t>בתור הערך הנוכחי PV של תזרימיה</t>
  </si>
  <si>
    <r>
      <t xml:space="preserve">אני רוצה לדעת מהם </t>
    </r>
    <r>
      <rPr>
        <b/>
        <sz val="12"/>
        <color theme="1"/>
        <rFont val="David"/>
        <family val="2"/>
        <charset val="177"/>
      </rPr>
      <t>תזרימי המזומנים</t>
    </r>
  </si>
  <si>
    <r>
      <t xml:space="preserve">האחת והבסיסית ביותר - היא לקבוע את </t>
    </r>
    <r>
      <rPr>
        <u/>
        <sz val="12"/>
        <color rgb="FFFF0000"/>
        <rFont val="David"/>
        <family val="2"/>
        <charset val="177"/>
      </rPr>
      <t>התשלום הבסיסי המגיע</t>
    </r>
    <r>
      <rPr>
        <sz val="12"/>
        <color theme="1"/>
        <rFont val="David"/>
        <family val="2"/>
        <charset val="177"/>
      </rPr>
      <t xml:space="preserve"> למחזיק באג״ח (לא כולל ריבית).</t>
    </r>
  </si>
  <si>
    <t>סוג תזרים ראשון - ערך נקוב, חד פעמי, בסוף</t>
  </si>
  <si>
    <r>
      <t xml:space="preserve">המטרה הנוספת - הערך הנקוב הוא בסיס </t>
    </r>
    <r>
      <rPr>
        <b/>
        <u/>
        <sz val="12"/>
        <color rgb="FFFF0000"/>
        <rFont val="David"/>
        <family val="2"/>
        <charset val="177"/>
      </rPr>
      <t>לתשלום התקופתי הסדרתי</t>
    </r>
    <r>
      <rPr>
        <sz val="12"/>
        <color theme="1"/>
        <rFont val="David"/>
        <family val="2"/>
        <charset val="177"/>
      </rPr>
      <t xml:space="preserve"> שהאג״ח משלמת למחזיק בה.</t>
    </r>
  </si>
  <si>
    <r>
      <t xml:space="preserve">זאת, משום שהתשלום התקופתי (שנקרא קופון) מחושב בתור מכפלת </t>
    </r>
    <r>
      <rPr>
        <u/>
        <sz val="12"/>
        <color theme="1"/>
        <rFont val="David"/>
        <family val="2"/>
        <charset val="177"/>
      </rPr>
      <t>הריבית הנקובה</t>
    </r>
    <r>
      <rPr>
        <sz val="12"/>
        <color theme="1"/>
        <rFont val="David"/>
        <family val="2"/>
        <charset val="177"/>
      </rPr>
      <t xml:space="preserve"> (ראו להלן)</t>
    </r>
  </si>
  <si>
    <r>
      <rPr>
        <u/>
        <sz val="12"/>
        <color theme="1"/>
        <rFont val="David"/>
        <family val="2"/>
        <charset val="177"/>
      </rPr>
      <t>בערך הנקוב</t>
    </r>
    <r>
      <rPr>
        <sz val="12"/>
        <color theme="1"/>
        <rFont val="David"/>
        <family val="2"/>
        <charset val="177"/>
      </rPr>
      <t>.</t>
    </r>
  </si>
  <si>
    <t>הריבית הנקובה - לשם חישוב התזרים הסדרתי / הקופון / PMT</t>
  </si>
  <si>
    <r>
      <t xml:space="preserve">בנוסף ארצה לדעת גם את </t>
    </r>
    <r>
      <rPr>
        <b/>
        <sz val="12"/>
        <color rgb="FFFF0000"/>
        <rFont val="David"/>
        <family val="2"/>
        <charset val="177"/>
      </rPr>
      <t>הריבית (השוק/תשואה לפדיון)</t>
    </r>
  </si>
  <si>
    <t>ריבית השוק / התשואה לפדיון:</t>
  </si>
  <si>
    <t>שאותה דורשים המשקיעים</t>
  </si>
  <si>
    <t>האלטרנטיבית</t>
  </si>
  <si>
    <r>
      <t xml:space="preserve">שתי אגרות החוב נסחרות בשיעור </t>
    </r>
    <r>
      <rPr>
        <sz val="12"/>
        <color rgb="FFFF0000"/>
        <rFont val="David"/>
        <family val="2"/>
        <charset val="177"/>
      </rPr>
      <t>תשואה לפדיון של 12%,</t>
    </r>
    <r>
      <rPr>
        <sz val="12"/>
        <color theme="1"/>
        <rFont val="David"/>
        <family val="2"/>
        <charset val="177"/>
      </rPr>
      <t xml:space="preserve"> ונושאות </t>
    </r>
    <r>
      <rPr>
        <sz val="12"/>
        <color rgb="FF00B050"/>
        <rFont val="David"/>
        <family val="2"/>
        <charset val="177"/>
      </rPr>
      <t>ריבית קופון שנתית זהה בשיעור 8%.</t>
    </r>
    <r>
      <rPr>
        <sz val="12"/>
        <color theme="1"/>
        <rFont val="David"/>
        <family val="2"/>
        <charset val="177"/>
      </rPr>
      <t xml:space="preserve"> </t>
    </r>
  </si>
  <si>
    <t>במחשבון הפיננסי - %I</t>
  </si>
  <si>
    <t>בנוסחאות מתמטיות - r</t>
  </si>
  <si>
    <r>
      <rPr>
        <sz val="12"/>
        <color rgb="FFFF0000"/>
        <rFont val="David"/>
        <family val="2"/>
        <charset val="177"/>
      </rPr>
      <t>תשואה לפדיון</t>
    </r>
    <r>
      <rPr>
        <sz val="12"/>
        <color theme="1"/>
        <rFont val="David"/>
        <family val="2"/>
        <charset val="177"/>
      </rPr>
      <t xml:space="preserve"> = התשואה הנדרשת ע״י משקיעים (אלטרנטיבית)</t>
    </r>
  </si>
  <si>
    <r>
      <rPr>
        <sz val="12"/>
        <color rgb="FF00B050"/>
        <rFont val="David"/>
        <family val="2"/>
        <charset val="177"/>
      </rPr>
      <t>ריבית קופון</t>
    </r>
    <r>
      <rPr>
        <sz val="12"/>
        <color theme="1"/>
        <rFont val="David"/>
        <family val="2"/>
        <charset val="177"/>
      </rPr>
      <t xml:space="preserve"> = ריבית נקובה = ה-PMT (קופון) מחושב ע״י מכפלתה</t>
    </r>
  </si>
  <si>
    <t>של ריבית זו בערך הנקוב (שנתון כ-100).</t>
  </si>
  <si>
    <r>
      <rPr>
        <sz val="12"/>
        <color rgb="FF00B050"/>
        <rFont val="David"/>
        <family val="2"/>
        <charset val="177"/>
      </rPr>
      <t>8%</t>
    </r>
    <r>
      <rPr>
        <sz val="12"/>
        <color theme="1"/>
        <rFont val="David"/>
        <family val="2"/>
        <charset val="177"/>
      </rPr>
      <t xml:space="preserve"> * 100 = 8</t>
    </r>
  </si>
  <si>
    <t>ש״ח לשנה</t>
  </si>
  <si>
    <r>
      <rPr>
        <b/>
        <sz val="12"/>
        <color theme="1"/>
        <rFont val="David"/>
        <family val="2"/>
        <charset val="177"/>
      </rPr>
      <t>הערך הנקוב</t>
    </r>
    <r>
      <rPr>
        <sz val="12"/>
        <color theme="1"/>
        <rFont val="David"/>
        <family val="2"/>
        <charset val="177"/>
      </rPr>
      <t xml:space="preserve"> של כל אגרת חוב הוא </t>
    </r>
    <r>
      <rPr>
        <b/>
        <sz val="12"/>
        <color theme="1"/>
        <rFont val="David"/>
        <family val="2"/>
        <charset val="177"/>
      </rPr>
      <t>100</t>
    </r>
    <r>
      <rPr>
        <sz val="12"/>
        <color theme="1"/>
        <rFont val="David"/>
        <family val="2"/>
        <charset val="177"/>
      </rPr>
      <t xml:space="preserve"> ש״ח ערך נקוב.</t>
    </r>
  </si>
  <si>
    <t>תזרים קופון שנתי</t>
  </si>
  <si>
    <t>תשלום הערך הנקוב</t>
  </si>
  <si>
    <t>PMT=rB*FV</t>
  </si>
  <si>
    <t>הערך הנקוב - תשלום חד פעמי בתום התקופה</t>
  </si>
  <si>
    <t>מתמטית - המבנה התזרימי בשאלה מצדיק יישום משולב של ערך נוכחי של סדרת הקופונים בתוספת הערך הנוכחי של התשלום הבודד של הערך הנקוב.</t>
  </si>
  <si>
    <t>ערך נוכחי רכיב סדרתי - סדרת קופונים</t>
  </si>
  <si>
    <t>ערך נוכחי של סכום חד פעמי - הערך הנקוב</t>
  </si>
  <si>
    <t>כאשר: PMT הוא הקופון - 8</t>
  </si>
  <si>
    <t>הריבית להיוון r היא שיעור התשואה לפדיון נתונה כ-12%</t>
  </si>
  <si>
    <t>ה-n הוא מספר תזרימי הקופון 4</t>
  </si>
  <si>
    <t xml:space="preserve">ב. מהו השינוי במחירי האג״ח כתוצאה מעלייה בשיעור התשואה לפדיון ל-14%? </t>
  </si>
  <si>
    <t>פתרון סעיף א:</t>
  </si>
  <si>
    <t>פתרון סעיף ב - לחשב מחדש לאחר שינוי %I</t>
  </si>
  <si>
    <t>זה למעשה סוג השאלה הכי בסיסי בעולם:</t>
  </si>
  <si>
    <t>כל הנתונים קיימים;</t>
  </si>
  <si>
    <t>הערכים שנתיים בלבד;</t>
  </si>
  <si>
    <t>כל התשלומים הם בסוף כל שנה...</t>
  </si>
  <si>
    <t>הנפקה</t>
  </si>
  <si>
    <t>אתה נמצא כאן</t>
  </si>
  <si>
    <t>ריבית אג״ח = ריבית נקובה = 15%</t>
  </si>
  <si>
    <t>משולמת כל חצי שנה = 7.5% = 2 / 15%</t>
  </si>
  <si>
    <t>קופון = תשלום חצי שנתי:</t>
  </si>
  <si>
    <t>7.5% * 500 = 37.5</t>
  </si>
  <si>
    <r>
      <rPr>
        <sz val="12"/>
        <color rgb="FF0070C0"/>
        <rFont val="David"/>
        <family val="2"/>
        <charset val="177"/>
      </rPr>
      <t>הריבית השנתית על האג״ח היא 15%</t>
    </r>
    <r>
      <rPr>
        <sz val="12"/>
        <color theme="1"/>
        <rFont val="David"/>
        <family val="2"/>
        <charset val="177"/>
      </rPr>
      <t xml:space="preserve"> והיא משולמת כל חצי שנה.</t>
    </r>
  </si>
  <si>
    <t>ריבית נקובה לתקופת תשלום * ערך נקוב</t>
  </si>
  <si>
    <t>המרות ריבית נקובה באג״ח = חישוב יחסי חלוקה תמיד (לא חזקה)</t>
  </si>
  <si>
    <t>המרת ריבית משק / לפדיון</t>
  </si>
  <si>
    <t>באג״ח = חישוב אפקטיבי</t>
  </si>
  <si>
    <t>בחזקה</t>
  </si>
  <si>
    <t>הקופון התקופתי (ערך חצי שנתי קבוע). - מכפלת ריבית נקובה יחסית בערך הנקוב:</t>
  </si>
  <si>
    <r>
      <rPr>
        <sz val="12"/>
        <color theme="0"/>
        <rFont val="David"/>
        <family val="2"/>
        <charset val="177"/>
      </rPr>
      <t>,</t>
    </r>
    <r>
      <rPr>
        <sz val="12"/>
        <color theme="1"/>
        <rFont val="David"/>
        <family val="2"/>
        <charset val="177"/>
      </rPr>
      <t>15%/2 * 500 = 37.5</t>
    </r>
  </si>
  <si>
    <t>מספר תזרימי הקופון שנותרו למועד החישוב - ברירת מחדל - בוצעו כל התשלומים עד כה (שנתיים = 4)</t>
  </si>
  <si>
    <t xml:space="preserve">הקופונים הם סדרה, לכן ה-I% המשרת בהיוונם </t>
  </si>
  <si>
    <t>צריך להיות מתואם לתקופת תשלום (חצי שנה)</t>
  </si>
  <si>
    <t>ריבית שוק נתונה, אך היא לחודש; 3%</t>
  </si>
  <si>
    <t>תשלומים חצי שנתיים &gt;&gt;&gt; ריבית נקובה חצי שנתית</t>
  </si>
  <si>
    <t>הערך הנקוב - נתון</t>
  </si>
  <si>
    <t xml:space="preserve">PV = </t>
  </si>
  <si>
    <t xml:space="preserve">PMT = </t>
  </si>
  <si>
    <t>ריבית נקובה יחסית לרבעון * ערך נקוב</t>
  </si>
  <si>
    <t xml:space="preserve">FV = </t>
  </si>
  <si>
    <t>בכל מצב שבו הקופון הקרוב איננו</t>
  </si>
  <si>
    <t xml:space="preserve">בעוד תקופת תשלום אחת בדיוק, </t>
  </si>
  <si>
    <t>חישוב ה-PV לא יספק, ועלינו לבצע</t>
  </si>
  <si>
    <t>גם התאמה.</t>
  </si>
  <si>
    <t>במקרה זה: אני נמצא בחלוף שנתיים וחודש</t>
  </si>
  <si>
    <t>התשלום הקרוב הוא בסוף הרבעון, כלומר</t>
  </si>
  <si>
    <t>בחלוף שנתיים ו-3 חודשים.</t>
  </si>
  <si>
    <t>ה-PV מקפיץ אוטומטית תקופת תשלום</t>
  </si>
  <si>
    <t xml:space="preserve">אחת אחורה = רבעון אחורה ממועד </t>
  </si>
  <si>
    <t>התשלום הקרוב:</t>
  </si>
  <si>
    <t>לרבעון שלם לפני שנתיים ו-3 חודשים ונדרשת התאמה</t>
  </si>
  <si>
    <t>וחודש</t>
  </si>
  <si>
    <t>ו-3 חודשים</t>
  </si>
  <si>
    <t>המיקום שלי</t>
  </si>
  <si>
    <t>של סדרה זו</t>
  </si>
  <si>
    <t>מקפיץ</t>
  </si>
  <si>
    <t xml:space="preserve">אחת </t>
  </si>
  <si>
    <t>רבעון אחד אחורה = תקופת תשלום אחת אחורה</t>
  </si>
  <si>
    <t>נוסחת ה-PV</t>
  </si>
  <si>
    <t>מקפיצה לפה</t>
  </si>
  <si>
    <t>תום השנתיים</t>
  </si>
  <si>
    <t xml:space="preserve">לתום </t>
  </si>
  <si>
    <t>השנתיים</t>
  </si>
  <si>
    <t>PV = 91.05</t>
  </si>
  <si>
    <t xml:space="preserve">יש לתאם חודש </t>
  </si>
  <si>
    <t>אחד קדימה</t>
  </si>
  <si>
    <t>לנקודת הזמן</t>
  </si>
  <si>
    <t>המבוקשת</t>
  </si>
  <si>
    <t>שלב 2- התאמה ב-CMPD:</t>
  </si>
  <si>
    <t>ה-n מתאים לחודש אחד מתוך 12 אם הריבית שנתית</t>
  </si>
  <si>
    <t>התאמה חודש קדימה</t>
  </si>
  <si>
    <t>שאלה נוספת באותו סגנון</t>
  </si>
  <si>
    <t xml:space="preserve">הערך הנקוב הוא 200 ש״ח, משולם בתשלום אחד בתום 10 השנים. </t>
  </si>
  <si>
    <t>מהו שווי האג״ח בחלוף 4 שנים ו-10 חודשים מהנפקתה, אם שיעור התשואה לפדיון (ריבית המשק) הוא 9% לשנה.</t>
  </si>
  <si>
    <t>מספר התשלומים שנותרו = מספר התשלומים הכולל בניכוי תשלומים שבוצעו</t>
  </si>
  <si>
    <t>שיעור תשואה לפדיון לתקופת תשלום = בהמרה עם חזקה מתאימה</t>
  </si>
  <si>
    <t>התוצאה שתתקבל היא ״תקופת תשלום שלמה אחורה״</t>
  </si>
  <si>
    <t>ריבית נקובה לתקופת תשלום (בהמרה יחסית / חלוקה) * ערך נקוב</t>
  </si>
  <si>
    <t>תשואה לפדיון לשנה</t>
  </si>
  <si>
    <t>החלק היחסי מהשנה להתאמה</t>
  </si>
  <si>
    <t>במקום צעד 2 במחשבון אפשר פשוט לכפול את ה-PV של השלב הראשון ב-1 ועוד תשואה לפדיון בחזקה מתאימה</t>
  </si>
  <si>
    <t>ה-PV של הסדרה למעשה מחשב ערך נוכחי של כל התשלומים מתום שנה 5 ואילך (אני נמצא ב-4 שנים ו-10 חודשים)</t>
  </si>
  <si>
    <t>החישוב מוביל לנקודת הזמן שהיא תקופה שלמה לפני התשלום הקרוב: כלומר, אם הקרוב ב-5, והתקופה חצי שנה - התוצאה היא ל-4.5</t>
  </si>
  <si>
    <t>המטרה: לדחוף את התוצאה מ-4 + 6/12 (4.5 שנים)</t>
  </si>
  <si>
    <t>ל - 4 + 10/12 (הנדרש) כלומר לדחוף 4 חודשים קדימה.</t>
  </si>
  <si>
    <t xml:space="preserve">175.94 * (1+9%)^(4/12) = </t>
  </si>
  <si>
    <t>בלי מינוס אחת כי זו נוסחת ערך עתידי ולא חישוב ריבית</t>
  </si>
  <si>
    <r>
      <t xml:space="preserve">מאיה בע״מ הנפיקה אג״ח ל-10 שנים המשלמת ריבית קופון </t>
    </r>
    <r>
      <rPr>
        <b/>
        <u/>
        <sz val="12"/>
        <color theme="1"/>
        <rFont val="David"/>
        <family val="2"/>
        <charset val="177"/>
      </rPr>
      <t>שנתית</t>
    </r>
    <r>
      <rPr>
        <sz val="12"/>
        <color theme="1"/>
        <rFont val="David"/>
        <family val="2"/>
        <charset val="177"/>
      </rPr>
      <t xml:space="preserve"> בשיעור 6% כל חצי שנה.</t>
    </r>
  </si>
  <si>
    <t>הסבר ארוך מהתרגול בכיתה לשאלה 3 (הקודמת לא האחרונה) לחובבי הז׳אנר:</t>
  </si>
  <si>
    <t>חייבת להיות חפיפה בין סוג התזרים והחשיפה הנובעת</t>
  </si>
  <si>
    <t>לשיעור ההיוון (%I).</t>
  </si>
  <si>
    <t>יהוון ב-%I המייצג ריבית ריאלית &gt;&gt;&gt; לפני גילום השפעות אינפלציה</t>
  </si>
  <si>
    <t>תזרימים ריאליים            &gt;&gt;&gt;           לפני גילום השפעות אינפלציה</t>
  </si>
  <si>
    <r>
      <t xml:space="preserve">דגש: שווי אג״ח צמודה במועד הנפקתה נשען על תזרימי אג״ח המבוססים על </t>
    </r>
    <r>
      <rPr>
        <b/>
        <u/>
        <sz val="12"/>
        <color theme="1"/>
        <rFont val="David"/>
        <family val="2"/>
        <charset val="177"/>
      </rPr>
      <t>ריבית הקופון</t>
    </r>
    <r>
      <rPr>
        <b/>
        <sz val="12"/>
        <color theme="1"/>
        <rFont val="David"/>
        <family val="2"/>
        <charset val="177"/>
      </rPr>
      <t xml:space="preserve"> (לפני שיקלול הצמדה) , </t>
    </r>
    <r>
      <rPr>
        <b/>
        <u/>
        <sz val="12"/>
        <color theme="1"/>
        <rFont val="David"/>
        <family val="2"/>
        <charset val="177"/>
      </rPr>
      <t>הערך הנקוב</t>
    </r>
    <r>
      <rPr>
        <b/>
        <sz val="12"/>
        <color theme="1"/>
        <rFont val="David"/>
        <family val="2"/>
        <charset val="177"/>
      </rPr>
      <t xml:space="preserve"> (ללא הצמדה)</t>
    </r>
  </si>
  <si>
    <r>
      <t xml:space="preserve">ועל </t>
    </r>
    <r>
      <rPr>
        <b/>
        <u/>
        <sz val="12"/>
        <color theme="1"/>
        <rFont val="David"/>
        <family val="2"/>
        <charset val="177"/>
      </rPr>
      <t>הריבית הריאלית</t>
    </r>
    <r>
      <rPr>
        <b/>
        <sz val="12"/>
        <color theme="1"/>
        <rFont val="David"/>
        <family val="2"/>
        <charset val="177"/>
      </rPr>
      <t xml:space="preserve"> בשוק (שהיא למעשה ריבית לפני השפעות הצמדה). </t>
    </r>
  </si>
  <si>
    <t>התזרימים הם ריאליים - שיעור ההיון ריבית ריאלית</t>
  </si>
  <si>
    <r>
      <t>ריבית ריאלית בשוק / שיעור תשואה לפדיון ״ריאלי״-</t>
    </r>
    <r>
      <rPr>
        <b/>
        <u/>
        <sz val="12"/>
        <color theme="1"/>
        <rFont val="David"/>
        <family val="2"/>
        <charset val="177"/>
      </rPr>
      <t>נתון</t>
    </r>
  </si>
  <si>
    <t>האג״ח ל-8 שנים, ומשלמת כל שנה</t>
  </si>
  <si>
    <t>קופון ריאלי: ריבית קופון ריאלית נתונה 5% * ערך נקוב ריאלי 100</t>
  </si>
  <si>
    <t>ערך נקוב ריאלי (לפני השפעות הצמדה)</t>
  </si>
  <si>
    <t xml:space="preserve">הנוסחה הכללית לחישוב שווי אג״ח </t>
  </si>
  <si>
    <t>על בסיס היוון סדרת קופונים וערך נקוב חד פעמי בסוף:</t>
  </si>
  <si>
    <t>הכל במונחי תזרימים ריאליים</t>
  </si>
  <si>
    <t>וריבית ריאלית:</t>
  </si>
  <si>
    <t xml:space="preserve">כאשר דנים במחיר האג״ח במועד הנפקתה - האינפלציה (שינוי במדד) טרם התרחשה. </t>
  </si>
  <si>
    <t>ולכן, הערך הריאלי של האג״ח = לפני הצמדה = ערך סופי (כספי) בהנפקה כי אין השפעות הצמדה עדיין.</t>
  </si>
  <si>
    <t xml:space="preserve">ולכן הנדרש הקודם (א) שדן בשווי במועד ההנפקה בוצע כמעט כמו במצב הרגיל של אג״ח לא צמודה. </t>
  </si>
  <si>
    <t xml:space="preserve">לעומת זאת, כאשר דנים במחיר האג״ח לאחר הנפקתה, בנקודת זמן מאוחרת יותר, סביר מאד ששינויים במדד התרחשו. </t>
  </si>
  <si>
    <t>לכן, בנקודה זו הערך הריאלי (לפני הצמדה) לא יהיה הערך הסופי - יש להוסיף לו את השפעות האינפלציה.</t>
  </si>
  <si>
    <t>בהתאם, לשם תמחור בנקודת זמן לאחר מועד ההנפקה, נפעל בשני שלבים:</t>
  </si>
  <si>
    <t xml:space="preserve">א. חישוב השווי הריאלי (בהתעלם מהאינפלציה). </t>
  </si>
  <si>
    <t>ב. השווי הריאלי יוכפל ב-1 ועוד שיעור האינפלציה - כדי להגיע לערך הכספי הסופי.</t>
  </si>
  <si>
    <t>ריבית ריאלית להיוון 3%, האינפלציה בשנה שחלפה 2%.</t>
  </si>
  <si>
    <r>
      <t xml:space="preserve">שלב 1: חישוב ערך ריאלי - אג״ח במקור ל-8 שנים, כעת חלפה שנה, </t>
    </r>
    <r>
      <rPr>
        <b/>
        <sz val="12"/>
        <color rgb="FFFF0000"/>
        <rFont val="David"/>
        <family val="2"/>
        <charset val="177"/>
      </rPr>
      <t>נותרו 7 שנים</t>
    </r>
    <r>
      <rPr>
        <b/>
        <sz val="12"/>
        <color theme="1"/>
        <rFont val="David"/>
        <family val="2"/>
        <charset val="177"/>
      </rPr>
      <t xml:space="preserve">, תשלומי ריבית קופון 5% על ערך נקוב של 100, </t>
    </r>
  </si>
  <si>
    <r>
      <t xml:space="preserve">באופן כללי (ללא קשר לסוגיית הצמדה או היעדרה) - </t>
    </r>
    <r>
      <rPr>
        <b/>
        <u/>
        <sz val="12"/>
        <color rgb="FFFF0000"/>
        <rFont val="David"/>
        <family val="2"/>
        <charset val="177"/>
      </rPr>
      <t>מחיר של אג״ח באשר היא, הוא הערך הנוכחי (PV) של תזרימי המזומנים שנותרו</t>
    </r>
    <r>
      <rPr>
        <sz val="12"/>
        <color theme="1"/>
        <rFont val="David"/>
        <family val="2"/>
        <charset val="177"/>
      </rPr>
      <t xml:space="preserve"> לאג״ח נכון</t>
    </r>
  </si>
  <si>
    <t xml:space="preserve">למועד החישוב. אם מחשבים שווי אחרי שנה מתוך 8, השווי יישען על ערך נוכחי של 7 התזרימים שנותרו. </t>
  </si>
  <si>
    <t>סיכום ביניים: במועד הנפקה - שווי אג״ח ריאלי (תזרימים ריאליים מהוונים בריבית ריאלית) = שוויה הסופי.</t>
  </si>
  <si>
    <t>במועדים לאחר הנפקה = שווי אג״ח ריאלי כפול אחת ועוד השינוי בבסיס הצמדה = שוויה הסופי.</t>
  </si>
  <si>
    <t>נדרש א - תזרים מזומנים ריאלי - לכל אורך חיי האג״ח (הכוונה היא ל-10 השנים)</t>
  </si>
  <si>
    <t>נתון: ערך נקוב 100</t>
  </si>
  <si>
    <t>ריבית נקובה 7%</t>
  </si>
  <si>
    <t>למשך 10 שנים, תדירות תשלום שנתית</t>
  </si>
  <si>
    <t>מדוע 107?</t>
  </si>
  <si>
    <t>ערך נקוב 100</t>
  </si>
  <si>
    <t>בתוספת קופון 7</t>
  </si>
  <si>
    <t>נדרש ב - שיעור אינפלציה כולל ל-3 השנים שחלפו - כאשר נתון שהאינפלציה בשנה הראשונה 14% ובכל אחת מהשנתיים העוקבות 12% לשנה</t>
  </si>
  <si>
    <t>אם מעניקים לי נתונים על אינפלציה בכל שנה ושנה בנפרד, מהי הדרך לחישוב האינפלציה הכוללת בכל השנים יחד?</t>
  </si>
  <si>
    <t>אם דרשו את שיעור האינפלציה ל-3 השנים יחד, כיצד נפעל?</t>
  </si>
  <si>
    <t>מנגנון החישוב לאינפלציה לתקופה ממושכת על בסיס ערכיה לתקופות הקצרות, מתבסס על כפל / חזקה בדומה להמרת ריבית אפקטיבית.</t>
  </si>
  <si>
    <r>
      <rPr>
        <b/>
        <sz val="12"/>
        <color theme="1"/>
        <rFont val="David"/>
        <family val="2"/>
        <charset val="177"/>
      </rPr>
      <t>לא ניתן</t>
    </r>
    <r>
      <rPr>
        <sz val="12"/>
        <color theme="1"/>
        <rFont val="David"/>
        <family val="2"/>
        <charset val="177"/>
      </rPr>
      <t xml:space="preserve"> לבצע חישוב פשוט של </t>
    </r>
    <r>
      <rPr>
        <b/>
        <sz val="12"/>
        <color theme="1"/>
        <rFont val="David"/>
        <family val="2"/>
        <charset val="177"/>
      </rPr>
      <t>חיבור</t>
    </r>
    <r>
      <rPr>
        <sz val="12"/>
        <color theme="1"/>
        <rFont val="David"/>
        <family val="2"/>
        <charset val="177"/>
      </rPr>
      <t xml:space="preserve"> ערכי האינפלציה לתקופות הקצרות.</t>
    </r>
  </si>
  <si>
    <t>התהליך הוא:</t>
  </si>
  <si>
    <t>אינפלציה לתקופה ממושכת, 3 שנים</t>
  </si>
  <si>
    <t>אינפלציה לתקופה הראשונה</t>
  </si>
  <si>
    <t>לשנה ה-1</t>
  </si>
  <si>
    <t>אינפלציה לתקופה השניה</t>
  </si>
  <si>
    <t>לשנה ה-2</t>
  </si>
  <si>
    <t>וכן הלאה</t>
  </si>
  <si>
    <t>נתון - שיעור האינפלציה בשנה הראשונה 𝜋_1 היה 14% ובשנה השניה והשלישית 12% לשנה 𝜋_3=𝜋_2  = 12%</t>
  </si>
  <si>
    <t>הביטוי של 12% + 1 הועלה בריבוע, משום שהאינפלציה התקופתית של 12% תקפה 2 תקופות.</t>
  </si>
  <si>
    <t>הביטוי של 14% + 1 לא הועלה בחזקה (או: ניתן לומר שהועלה בחזקת 1) כי תקף תקופה אחת.</t>
  </si>
  <si>
    <t>שיעור אינפלציה מצרפי</t>
  </si>
  <si>
    <t>ל-3 שנים.</t>
  </si>
  <si>
    <t xml:space="preserve">נדרש ג - מחיר אג״ח בחלוף 3 שנים - אם אורך חיי האג״ח הוא בסך הכל 10 שנים, והריבית הריאלית השנתית 4%, </t>
  </si>
  <si>
    <t>הערך הנקוב 100, ריבית נקובה 7%</t>
  </si>
  <si>
    <t>כאשר אג״ח היא צמודה, ורוצים לחשב את מחירה במועד מאוחר יותר, הדרך הקלאסית היא לחשב PV ריאלי לערכים התזרימיים שנותרו;</t>
  </si>
  <si>
    <t xml:space="preserve">ואת התוצאה המהווה שווי ריאלי, לכפול ב-1 ועוד האינפלציה לתקופה שחלפה. </t>
  </si>
  <si>
    <t xml:space="preserve">א. ניתן להמיר את התזרימים הריאליים שנותרו למונחים נומינליים = למונחי תזרים כולל וסופי. </t>
  </si>
  <si>
    <t>איך עושים את זה? פשוט כופלים כל אחד מהם ב-1 ועוד שיעור האינפלציה הכולל לתקופה שחלפה.</t>
  </si>
  <si>
    <t>ב. נהוון את התזרימים הכוללים / הנומינליים בריבית ריאלית, ונקבל את שווי האג״ח הנומינלי (הכולל) מיידית.</t>
  </si>
  <si>
    <t>מסלול 1</t>
  </si>
  <si>
    <t>ריאלית</t>
  </si>
  <si>
    <t>התאמה ״בסוף התהליך״</t>
  </si>
  <si>
    <t>מסלול 2 - בשאלה זו</t>
  </si>
  <si>
    <r>
      <t xml:space="preserve">תזרים </t>
    </r>
    <r>
      <rPr>
        <b/>
        <u/>
        <sz val="12"/>
        <color theme="1"/>
        <rFont val="David"/>
        <family val="2"/>
        <charset val="177"/>
      </rPr>
      <t>נומינלי</t>
    </r>
    <r>
      <rPr>
        <sz val="12"/>
        <color theme="1"/>
        <rFont val="David"/>
        <family val="2"/>
        <charset val="177"/>
      </rPr>
      <t xml:space="preserve"> </t>
    </r>
  </si>
  <si>
    <t>לאחר הצמדה</t>
  </si>
  <si>
    <t>ואז ה-PV הוא השווי</t>
  </si>
  <si>
    <t>הנומינלי, אין צורך בהתאמה</t>
  </si>
  <si>
    <t>אלא שדרך נוספת אפשרית, המוצגת להלן היא כזו שתטען - מסלול 2:</t>
  </si>
  <si>
    <t>תזרים נומינלי</t>
  </si>
  <si>
    <t>ב-1 ועוד שיעור האינפלציה הכולל עד ערב החישוב (43%) אשר חושב בסעיף קודם:</t>
  </si>
  <si>
    <t>חישוב בדרך יעלית / מתמטית - בדיוק אותו דבר, שינוי בתזרימים</t>
  </si>
  <si>
    <t>באופן שבו הם מגלמים אינפלציה (תזרימים נומינליים)</t>
  </si>
  <si>
    <t xml:space="preserve">ולכן השווי המתקבל גם בגישה זו הוא ערך סופי. </t>
  </si>
  <si>
    <t>שיעור אינפלציה מצרפי מצטבר לכל</t>
  </si>
  <si>
    <t>התקופה - 4 השנים, ערב התמחור.</t>
  </si>
  <si>
    <t xml:space="preserve">אני נמצא בחלוף 4 שנים - ״רגע לפני״ התשלום ה-4. </t>
  </si>
  <si>
    <t>זה אומר שמנקודת ראותי כרגע: אני זכאי לקבל 7 תזרימים - את התזרים של זמן 4, שטרם בוצע (יבוצע מיד) ואת 6 התזרימים העתידיים העוקבים.</t>
  </si>
  <si>
    <t>מה עשינו כאן? אנו פועלים במסלול החישוב ה-2 של אג״ח צמודות:</t>
  </si>
  <si>
    <t xml:space="preserve">מסלול זה לוקח את התזרימים של האג״ח, ומצמיד כל אחד מהם ע״י מכפלה ב-1 ועוד אינפלציה מצטברת לתקופה שחלפה. </t>
  </si>
  <si>
    <t xml:space="preserve">התזרימים המתקבלים נקראים תזרימים נומינליים. </t>
  </si>
  <si>
    <t>מה עושים עם זה? היכן נכנסת לה הריבית? הריבית הריאלית הנתונה 3% לשנה תשרת אותי בחישוב הערך הנוכחי PV:</t>
  </si>
  <si>
    <t xml:space="preserve">10 * (1+54.44%) = </t>
  </si>
  <si>
    <t xml:space="preserve">100 * (1 + 54.44%) = </t>
  </si>
  <si>
    <t>אני נמצא בזמן:</t>
  </si>
  <si>
    <t xml:space="preserve">התזרים הקרוב בזמן: </t>
  </si>
  <si>
    <t xml:space="preserve">ערך נוכחי PV סדרתי מוביל לזמן: </t>
  </si>
  <si>
    <t>ה-PV מבטא את התוצאה ״אחת אחורה (תקופת תשלום אחת אחורה)״ לפני התזרים הקרוב.</t>
  </si>
  <si>
    <t>לכן, השווי שהתקבל:</t>
  </si>
  <si>
    <t>זה שווי האג״ח לזמן 3</t>
  </si>
  <si>
    <t>כדי לדחוף את התוצאה תקופה אחת קדימה - כופלים ב-1 ועוד הריבית התקופתית 3%:</t>
  </si>
  <si>
    <t>התוצאה הסופית - שווי אג״ח לזמן 4</t>
  </si>
  <si>
    <t xml:space="preserve">בקצרה: חישבנו בתחילה את האינפלציה הכוללת ל-3 התקופות הראשונות (כי שאלו על התמחור לזמן 3). </t>
  </si>
  <si>
    <t>חישבנו את התזרימים הצמודים לאחר זמן 3 וביצענו להם PV בריבית הריאלית הידועה לאותו מועד (במקרה הקודם).</t>
  </si>
  <si>
    <t xml:space="preserve">כאן, התקדמנו שנה קדימה. השינויים היו: חישבנו את האינפלציה הכוללת ל-4 השנים (כי שאלו על התמחור לזמן 4). </t>
  </si>
  <si>
    <t xml:space="preserve">חישבנו את התזרימים הצמודים לזמן 4 ואילך (כי במקרה הזה אני רגע לפני התשלום ה-4 כנתון). </t>
  </si>
  <si>
    <t>לצערנו בגלל שהתזרים הקרוב היה מיידי בסעיף זה, עקרון הקפיצה ״אחת תקופה״ גרם לסטייה מזמן 4, תיקנו אותה ע״י מכפלה ב-1 ועוד הריבית.</t>
  </si>
  <si>
    <t>חיזוקי אג״ח נוספים ללא מפגש</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</si>
</sst>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8" formatCode="&quot;₪&quot;#,##0.00_);[Red]\(&quot;₪&quot;#,##0.00\)"/>
    <numFmt numFmtId="164" formatCode="0.000%"/>
    <numFmt numFmtId="165" formatCode="0.0000%"/>
    <numFmt numFmtId="166" formatCode="0.0"/>
    <numFmt numFmtId="167" formatCode="0.000000%"/>
    <numFmt numFmtId="168" formatCode="0.0%"/>
    <numFmt numFmtId="169" formatCode="#,##0.000_);\(#,##0.000\)"/>
    <numFmt numFmtId="170" formatCode="&quot;₪&quot;#,##0.0000_);[Red]\(&quot;₪&quot;#,##0.0000\)"/>
    <numFmt numFmtId="171" formatCode="0.00000%"/>
    <numFmt numFmtId="172" formatCode="0.0000000%"/>
    <numFmt numFmtId="173" formatCode="0.000"/>
    <numFmt numFmtId="174" formatCode="0.00000"/>
    <numFmt numFmtId="175" formatCode="0.0000000"/>
    <numFmt numFmtId="176" formatCode="&quot;₪&quot;#,##0.000_);[Red]\(&quot;₪&quot;#,##0.000\)"/>
    <numFmt numFmtId="177" formatCode="0.0000"/>
    <numFmt numFmtId="178" formatCode="0.000000"/>
  </numFmts>
  <fonts count="55" x14ac:knownFonts="1">
    <font>
      <sz val="12"/>
      <color theme="1"/>
      <name val="Aptos Narrow"/>
      <family val="2"/>
      <scheme val="minor"/>
    </font>
    <font>
      <sz val="12"/>
      <color theme="1"/>
      <name val="David"/>
      <family val="2"/>
      <charset val="177"/>
    </font>
    <font>
      <b/>
      <sz val="12"/>
      <color theme="1"/>
      <name val="David"/>
      <family val="2"/>
      <charset val="177"/>
    </font>
    <font>
      <sz val="12"/>
      <color theme="0"/>
      <name val="David"/>
      <family val="2"/>
      <charset val="177"/>
    </font>
    <font>
      <sz val="12"/>
      <name val="David"/>
      <family val="2"/>
      <charset val="177"/>
    </font>
    <font>
      <sz val="12"/>
      <color rgb="FFFF0000"/>
      <name val="David"/>
      <family val="2"/>
      <charset val="177"/>
    </font>
    <font>
      <b/>
      <sz val="12"/>
      <name val="David"/>
      <family val="2"/>
      <charset val="177"/>
    </font>
    <font>
      <u/>
      <sz val="12"/>
      <color theme="1"/>
      <name val="David"/>
      <family val="2"/>
      <charset val="177"/>
    </font>
    <font>
      <b/>
      <sz val="12"/>
      <color rgb="FFFF0000"/>
      <name val="David"/>
      <family val="2"/>
      <charset val="177"/>
    </font>
    <font>
      <sz val="11"/>
      <color theme="1"/>
      <name val="David"/>
      <family val="2"/>
      <charset val="177"/>
    </font>
    <font>
      <u/>
      <sz val="9"/>
      <color theme="1"/>
      <name val="David"/>
      <family val="2"/>
      <charset val="177"/>
    </font>
    <font>
      <sz val="12"/>
      <color theme="1"/>
      <name val="Aptos Narrow"/>
      <family val="2"/>
      <scheme val="minor"/>
    </font>
    <font>
      <b/>
      <u/>
      <sz val="12"/>
      <color theme="1"/>
      <name val="David"/>
      <family val="2"/>
      <charset val="177"/>
    </font>
    <font>
      <sz val="11"/>
      <color theme="1"/>
      <name val="Cambria Math"/>
      <family val="1"/>
    </font>
    <font>
      <sz val="12"/>
      <color rgb="FF00B050"/>
      <name val="David"/>
      <family val="2"/>
      <charset val="177"/>
    </font>
    <font>
      <i/>
      <sz val="12"/>
      <color theme="1"/>
      <name val="David"/>
      <family val="2"/>
      <charset val="177"/>
    </font>
    <font>
      <b/>
      <i/>
      <u/>
      <sz val="14"/>
      <color theme="1"/>
      <name val="David"/>
      <family val="2"/>
      <charset val="177"/>
    </font>
    <font>
      <sz val="12"/>
      <color rgb="FF000000"/>
      <name val="David"/>
      <family val="2"/>
      <charset val="177"/>
    </font>
    <font>
      <sz val="11"/>
      <name val="David"/>
      <family val="2"/>
      <charset val="177"/>
    </font>
    <font>
      <sz val="12"/>
      <color rgb="FF00B0F0"/>
      <name val="David"/>
      <family val="2"/>
      <charset val="177"/>
    </font>
    <font>
      <b/>
      <sz val="14"/>
      <color theme="1"/>
      <name val="David"/>
      <family val="2"/>
      <charset val="177"/>
    </font>
    <font>
      <sz val="16"/>
      <color theme="1"/>
      <name val="David"/>
      <family val="2"/>
      <charset val="177"/>
    </font>
    <font>
      <b/>
      <sz val="12"/>
      <color theme="0"/>
      <name val="David"/>
      <family val="2"/>
      <charset val="177"/>
    </font>
    <font>
      <b/>
      <u/>
      <sz val="12"/>
      <name val="David"/>
      <family val="2"/>
      <charset val="177"/>
    </font>
    <font>
      <b/>
      <u/>
      <sz val="12"/>
      <color theme="0"/>
      <name val="David"/>
      <family val="2"/>
      <charset val="177"/>
    </font>
    <font>
      <u/>
      <sz val="12"/>
      <name val="David"/>
      <family val="2"/>
      <charset val="177"/>
    </font>
    <font>
      <sz val="18"/>
      <color theme="1"/>
      <name val="David"/>
      <family val="2"/>
      <charset val="177"/>
    </font>
    <font>
      <b/>
      <sz val="14"/>
      <color rgb="FFFF0000"/>
      <name val="David"/>
      <family val="2"/>
      <charset val="177"/>
    </font>
    <font>
      <b/>
      <sz val="18"/>
      <color theme="1"/>
      <name val="David"/>
      <family val="2"/>
      <charset val="177"/>
    </font>
    <font>
      <sz val="11"/>
      <name val="Cambria Math"/>
      <family val="1"/>
    </font>
    <font>
      <sz val="11"/>
      <color rgb="FFFF0000"/>
      <name val="Cambria Math"/>
      <family val="1"/>
    </font>
    <font>
      <sz val="9"/>
      <color theme="1"/>
      <name val="David"/>
      <family val="2"/>
      <charset val="177"/>
    </font>
    <font>
      <sz val="10"/>
      <color theme="1"/>
      <name val="David"/>
      <family val="2"/>
      <charset val="177"/>
    </font>
    <font>
      <b/>
      <i/>
      <sz val="12"/>
      <color rgb="FFFF0000"/>
      <name val="David"/>
      <family val="2"/>
      <charset val="177"/>
    </font>
    <font>
      <sz val="12"/>
      <color rgb="FF0070C0"/>
      <name val="David"/>
      <family val="2"/>
      <charset val="177"/>
    </font>
    <font>
      <sz val="12"/>
      <color rgb="FFD883FF"/>
      <name val="David"/>
      <family val="2"/>
      <charset val="177"/>
    </font>
    <font>
      <sz val="9"/>
      <name val="David"/>
      <family val="2"/>
      <charset val="177"/>
    </font>
    <font>
      <sz val="8"/>
      <name val="David"/>
      <family val="2"/>
      <charset val="177"/>
    </font>
    <font>
      <b/>
      <sz val="16"/>
      <color theme="1"/>
      <name val="David"/>
      <family val="2"/>
      <charset val="177"/>
    </font>
    <font>
      <b/>
      <sz val="20"/>
      <color theme="1"/>
      <name val="David"/>
      <family val="2"/>
      <charset val="177"/>
    </font>
    <font>
      <b/>
      <sz val="9"/>
      <color theme="1"/>
      <name val="David"/>
      <family val="2"/>
      <charset val="177"/>
    </font>
    <font>
      <sz val="12"/>
      <color theme="8" tint="0.39997558519241921"/>
      <name val="David"/>
      <family val="2"/>
      <charset val="177"/>
    </font>
    <font>
      <b/>
      <sz val="12"/>
      <color theme="1"/>
      <name val="David"/>
      <family val="2"/>
      <charset val="177"/>
    </font>
    <font>
      <sz val="12"/>
      <color theme="1"/>
      <name val="David"/>
      <family val="2"/>
      <charset val="177"/>
    </font>
    <font>
      <sz val="12"/>
      <name val="David"/>
      <family val="2"/>
      <charset val="177"/>
    </font>
    <font>
      <sz val="12"/>
      <color theme="0"/>
      <name val="David"/>
      <family val="2"/>
      <charset val="177"/>
    </font>
    <font>
      <b/>
      <u/>
      <sz val="12"/>
      <color theme="1"/>
      <name val="David"/>
      <family val="2"/>
      <charset val="177"/>
    </font>
    <font>
      <b/>
      <sz val="12"/>
      <name val="David"/>
      <family val="2"/>
      <charset val="177"/>
    </font>
    <font>
      <b/>
      <u/>
      <sz val="18"/>
      <color theme="1"/>
      <name val="David"/>
      <family val="2"/>
      <charset val="177"/>
    </font>
    <font>
      <b/>
      <sz val="12"/>
      <color rgb="FF00B050"/>
      <name val="David"/>
      <family val="2"/>
      <charset val="177"/>
    </font>
    <font>
      <u/>
      <sz val="12"/>
      <color rgb="FFFF0000"/>
      <name val="David"/>
      <family val="2"/>
      <charset val="177"/>
    </font>
    <font>
      <b/>
      <u/>
      <sz val="12"/>
      <color rgb="FFFF0000"/>
      <name val="David"/>
      <family val="2"/>
      <charset val="177"/>
    </font>
    <font>
      <sz val="8"/>
      <color theme="1"/>
      <name val="David"/>
      <family val="2"/>
      <charset val="177"/>
    </font>
    <font>
      <b/>
      <sz val="10"/>
      <color theme="1"/>
      <name val="David"/>
      <family val="2"/>
      <charset val="177"/>
    </font>
    <font>
      <b/>
      <sz val="14"/>
      <name val="David"/>
      <family val="2"/>
      <charset val="177"/>
    </font>
  </fonts>
  <fills count="31">
    <fill>
      <patternFill patternType="none"/>
    </fill>
    <fill>
      <patternFill patternType="gray125"/>
    </fill>
    <fill>
      <patternFill patternType="solid">
        <fgColor theme="5" tint="0.79998168889431442"/>
        <bgColor indexed="64"/>
      </patternFill>
    </fill>
    <fill>
      <patternFill patternType="solid">
        <fgColor rgb="FFFFFF00"/>
        <bgColor indexed="64"/>
      </patternFill>
    </fill>
    <fill>
      <patternFill patternType="solid">
        <fgColor theme="1"/>
        <bgColor indexed="64"/>
      </patternFill>
    </fill>
    <fill>
      <patternFill patternType="solid">
        <fgColor theme="9" tint="0.59999389629810485"/>
        <bgColor indexed="64"/>
      </patternFill>
    </fill>
    <fill>
      <patternFill patternType="solid">
        <fgColor theme="4" tint="0.39997558519241921"/>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3" tint="0.89999084444715716"/>
        <bgColor indexed="64"/>
      </patternFill>
    </fill>
    <fill>
      <patternFill patternType="solid">
        <fgColor rgb="FF00FDFF"/>
        <bgColor indexed="64"/>
      </patternFill>
    </fill>
    <fill>
      <patternFill patternType="solid">
        <fgColor rgb="FF00FA00"/>
        <bgColor indexed="64"/>
      </patternFill>
    </fill>
    <fill>
      <patternFill patternType="solid">
        <fgColor rgb="FFFFC000"/>
        <bgColor indexed="64"/>
      </patternFill>
    </fill>
    <fill>
      <patternFill patternType="solid">
        <fgColor rgb="FFFF8AD8"/>
        <bgColor indexed="64"/>
      </patternFill>
    </fill>
    <fill>
      <patternFill patternType="solid">
        <fgColor theme="4" tint="0.79998168889431442"/>
        <bgColor indexed="64"/>
      </patternFill>
    </fill>
    <fill>
      <patternFill patternType="solid">
        <fgColor rgb="FF00B0F0"/>
        <bgColor indexed="64"/>
      </patternFill>
    </fill>
    <fill>
      <patternFill patternType="solid">
        <fgColor theme="8" tint="0.79998168889431442"/>
        <bgColor indexed="64"/>
      </patternFill>
    </fill>
    <fill>
      <patternFill patternType="solid">
        <fgColor rgb="FFFFFF00"/>
        <bgColor rgb="FF000000"/>
      </patternFill>
    </fill>
    <fill>
      <patternFill patternType="solid">
        <fgColor theme="8" tint="0.59999389629810485"/>
        <bgColor indexed="64"/>
      </patternFill>
    </fill>
    <fill>
      <patternFill patternType="solid">
        <fgColor theme="9" tint="0.39997558519241921"/>
        <bgColor indexed="64"/>
      </patternFill>
    </fill>
    <fill>
      <patternFill patternType="solid">
        <fgColor theme="6" tint="0.39997558519241921"/>
        <bgColor indexed="64"/>
      </patternFill>
    </fill>
    <fill>
      <patternFill patternType="solid">
        <fgColor theme="4" tint="0.59999389629810485"/>
        <bgColor indexed="64"/>
      </patternFill>
    </fill>
    <fill>
      <patternFill patternType="solid">
        <fgColor rgb="FF92D050"/>
        <bgColor indexed="64"/>
      </patternFill>
    </fill>
    <fill>
      <patternFill patternType="solid">
        <fgColor theme="0"/>
        <bgColor indexed="64"/>
      </patternFill>
    </fill>
    <fill>
      <patternFill patternType="solid">
        <fgColor rgb="FFD883FF"/>
        <bgColor indexed="64"/>
      </patternFill>
    </fill>
    <fill>
      <patternFill patternType="solid">
        <fgColor theme="6" tint="0.79998168889431442"/>
        <bgColor indexed="64"/>
      </patternFill>
    </fill>
    <fill>
      <patternFill patternType="solid">
        <fgColor theme="9" tint="0.79998168889431442"/>
        <bgColor indexed="64"/>
      </patternFill>
    </fill>
    <fill>
      <patternFill patternType="solid">
        <fgColor theme="2" tint="-0.249977111117893"/>
        <bgColor indexed="64"/>
      </patternFill>
    </fill>
    <fill>
      <patternFill patternType="solid">
        <fgColor rgb="FF0070C0"/>
        <bgColor indexed="64"/>
      </patternFill>
    </fill>
  </fills>
  <borders count="41">
    <border>
      <left/>
      <right/>
      <top/>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auto="1"/>
      </top>
      <bottom style="dashed">
        <color auto="1"/>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diagonal/>
    </border>
    <border>
      <left/>
      <right style="medium">
        <color indexed="64"/>
      </right>
      <top/>
      <bottom/>
      <diagonal/>
    </border>
    <border>
      <left/>
      <right/>
      <top style="thin">
        <color indexed="64"/>
      </top>
      <bottom/>
      <diagonal/>
    </border>
    <border>
      <left style="thin">
        <color auto="1"/>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diagonalUp="1" diagonalDown="1">
      <left/>
      <right/>
      <top/>
      <bottom/>
      <diagonal style="thin">
        <color auto="1"/>
      </diagonal>
    </border>
    <border>
      <left/>
      <right/>
      <top style="thin">
        <color auto="1"/>
      </top>
      <bottom style="thin">
        <color auto="1"/>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
    <xf numFmtId="0" fontId="0" fillId="0" borderId="0"/>
    <xf numFmtId="9" fontId="11" fillId="0" borderId="0" applyFont="0" applyFill="0" applyBorder="0" applyAlignment="0" applyProtection="0"/>
  </cellStyleXfs>
  <cellXfs count="525">
    <xf numFmtId="0" fontId="0" fillId="0" borderId="0" xfId="0"/>
    <xf numFmtId="0" fontId="1" fillId="0" borderId="0" xfId="0" applyFont="1"/>
    <xf numFmtId="0" fontId="2" fillId="2" borderId="0" xfId="0" applyFont="1" applyFill="1"/>
    <xf numFmtId="3" fontId="1" fillId="0" borderId="0" xfId="0" applyNumberFormat="1" applyFont="1"/>
    <xf numFmtId="14" fontId="1" fillId="0" borderId="0" xfId="0" applyNumberFormat="1" applyFont="1"/>
    <xf numFmtId="0" fontId="1" fillId="3" borderId="0" xfId="0" applyFont="1" applyFill="1"/>
    <xf numFmtId="0" fontId="2" fillId="3" borderId="0" xfId="0" applyFont="1" applyFill="1"/>
    <xf numFmtId="0" fontId="1" fillId="0" borderId="2" xfId="0" applyFont="1" applyBorder="1"/>
    <xf numFmtId="0" fontId="1" fillId="0" borderId="3" xfId="0" applyFont="1" applyBorder="1"/>
    <xf numFmtId="0" fontId="1" fillId="0" borderId="4" xfId="0" applyFont="1" applyBorder="1"/>
    <xf numFmtId="0" fontId="1" fillId="0" borderId="1" xfId="0" applyFont="1"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1" fillId="0" borderId="10" xfId="0" applyFont="1" applyBorder="1"/>
    <xf numFmtId="0" fontId="1" fillId="0" borderId="11" xfId="0" applyFont="1" applyBorder="1"/>
    <xf numFmtId="0" fontId="1" fillId="0" borderId="12" xfId="0" applyFont="1" applyBorder="1"/>
    <xf numFmtId="0" fontId="2" fillId="0" borderId="0" xfId="0" applyFont="1"/>
    <xf numFmtId="3" fontId="1" fillId="0" borderId="5" xfId="0" applyNumberFormat="1" applyFont="1" applyBorder="1"/>
    <xf numFmtId="0" fontId="1" fillId="0" borderId="0" xfId="0" applyFont="1" applyAlignment="1">
      <alignment horizontal="center"/>
    </xf>
    <xf numFmtId="0" fontId="3" fillId="4" borderId="0" xfId="0" applyFont="1" applyFill="1" applyAlignment="1">
      <alignment horizontal="center"/>
    </xf>
    <xf numFmtId="0" fontId="3" fillId="6" borderId="0" xfId="0" applyFont="1" applyFill="1" applyAlignment="1">
      <alignment horizontal="center"/>
    </xf>
    <xf numFmtId="2" fontId="4" fillId="5" borderId="0" xfId="0" applyNumberFormat="1" applyFont="1" applyFill="1" applyAlignment="1">
      <alignment horizontal="center"/>
    </xf>
    <xf numFmtId="3" fontId="1" fillId="0" borderId="0" xfId="0" applyNumberFormat="1" applyFont="1" applyAlignment="1">
      <alignment horizontal="center"/>
    </xf>
    <xf numFmtId="8" fontId="1" fillId="0" borderId="0" xfId="0" applyNumberFormat="1" applyFont="1"/>
    <xf numFmtId="0" fontId="2" fillId="0" borderId="0" xfId="0" applyFont="1" applyAlignment="1">
      <alignment horizontal="center"/>
    </xf>
    <xf numFmtId="0" fontId="1" fillId="0" borderId="1" xfId="0" applyFont="1" applyBorder="1" applyAlignment="1">
      <alignment horizontal="center"/>
    </xf>
    <xf numFmtId="0" fontId="3" fillId="4" borderId="1" xfId="0" applyFont="1" applyFill="1" applyBorder="1" applyAlignment="1">
      <alignment horizontal="center"/>
    </xf>
    <xf numFmtId="0" fontId="1" fillId="0" borderId="0" xfId="0" applyFont="1" applyAlignment="1">
      <alignment horizontal="right"/>
    </xf>
    <xf numFmtId="2" fontId="1" fillId="0" borderId="0" xfId="0" applyNumberFormat="1" applyFont="1" applyAlignment="1">
      <alignment horizontal="center"/>
    </xf>
    <xf numFmtId="0" fontId="5" fillId="0" borderId="0" xfId="0" applyFont="1" applyAlignment="1">
      <alignment horizontal="center"/>
    </xf>
    <xf numFmtId="2" fontId="1" fillId="0" borderId="0" xfId="0" applyNumberFormat="1" applyFont="1"/>
    <xf numFmtId="2" fontId="6" fillId="3" borderId="0" xfId="0" applyNumberFormat="1" applyFont="1" applyFill="1" applyAlignment="1">
      <alignment horizontal="center"/>
    </xf>
    <xf numFmtId="2" fontId="2" fillId="3" borderId="0" xfId="0" applyNumberFormat="1" applyFont="1" applyFill="1" applyAlignment="1">
      <alignment horizontal="center"/>
    </xf>
    <xf numFmtId="0" fontId="3" fillId="4" borderId="0" xfId="0" applyFont="1" applyFill="1"/>
    <xf numFmtId="14" fontId="2" fillId="0" borderId="0" xfId="0" applyNumberFormat="1" applyFont="1"/>
    <xf numFmtId="9" fontId="1" fillId="0" borderId="0" xfId="0" applyNumberFormat="1" applyFont="1"/>
    <xf numFmtId="3" fontId="1" fillId="0" borderId="6" xfId="0" applyNumberFormat="1" applyFont="1" applyBorder="1"/>
    <xf numFmtId="9" fontId="1" fillId="0" borderId="6" xfId="0" applyNumberFormat="1" applyFont="1" applyBorder="1"/>
    <xf numFmtId="0" fontId="1" fillId="3" borderId="0" xfId="0" applyFont="1" applyFill="1" applyAlignment="1">
      <alignment horizontal="right"/>
    </xf>
    <xf numFmtId="2" fontId="1" fillId="7" borderId="13" xfId="0" applyNumberFormat="1" applyFont="1" applyFill="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0" borderId="15" xfId="0" applyFont="1" applyBorder="1" applyAlignment="1">
      <alignment horizontal="center"/>
    </xf>
    <xf numFmtId="0" fontId="1" fillId="0" borderId="16" xfId="0" applyFont="1" applyBorder="1" applyAlignment="1">
      <alignment horizontal="center"/>
    </xf>
    <xf numFmtId="0" fontId="8" fillId="0" borderId="0" xfId="0" applyFont="1" applyAlignment="1">
      <alignment horizontal="center"/>
    </xf>
    <xf numFmtId="2" fontId="8" fillId="7" borderId="13" xfId="0" applyNumberFormat="1" applyFont="1" applyFill="1" applyBorder="1" applyAlignment="1">
      <alignment horizontal="center"/>
    </xf>
    <xf numFmtId="0" fontId="4" fillId="0" borderId="0" xfId="0" applyFont="1" applyAlignment="1">
      <alignment horizontal="center"/>
    </xf>
    <xf numFmtId="2" fontId="4" fillId="0" borderId="0" xfId="0" applyNumberFormat="1" applyFont="1" applyAlignment="1">
      <alignment horizontal="center"/>
    </xf>
    <xf numFmtId="2" fontId="1" fillId="3" borderId="0" xfId="0" applyNumberFormat="1" applyFont="1" applyFill="1" applyAlignment="1">
      <alignment horizontal="center"/>
    </xf>
    <xf numFmtId="9" fontId="1" fillId="0" borderId="0" xfId="0" applyNumberFormat="1" applyFont="1" applyAlignment="1">
      <alignment horizontal="center"/>
    </xf>
    <xf numFmtId="0" fontId="8" fillId="0" borderId="0" xfId="0" applyFont="1"/>
    <xf numFmtId="2" fontId="1" fillId="8" borderId="4" xfId="0" applyNumberFormat="1" applyFont="1" applyFill="1" applyBorder="1" applyAlignment="1">
      <alignment horizontal="center"/>
    </xf>
    <xf numFmtId="2" fontId="1" fillId="9" borderId="0" xfId="0" applyNumberFormat="1" applyFont="1" applyFill="1" applyAlignment="1">
      <alignment horizontal="center"/>
    </xf>
    <xf numFmtId="0" fontId="7" fillId="3" borderId="0" xfId="0" applyFont="1" applyFill="1"/>
    <xf numFmtId="0" fontId="10" fillId="3" borderId="0" xfId="0" applyFont="1" applyFill="1"/>
    <xf numFmtId="1" fontId="1" fillId="3" borderId="0" xfId="0" applyNumberFormat="1" applyFont="1" applyFill="1" applyAlignment="1">
      <alignment horizontal="center"/>
    </xf>
    <xf numFmtId="0" fontId="9" fillId="0" borderId="0" xfId="0" applyFont="1" applyAlignment="1">
      <alignment horizontal="center"/>
    </xf>
    <xf numFmtId="1" fontId="1" fillId="2" borderId="0" xfId="0" applyNumberFormat="1" applyFont="1" applyFill="1" applyAlignment="1">
      <alignment horizontal="center"/>
    </xf>
    <xf numFmtId="0" fontId="2" fillId="0" borderId="2" xfId="0" applyFont="1" applyBorder="1"/>
    <xf numFmtId="0" fontId="2" fillId="0" borderId="3" xfId="0" applyFont="1" applyBorder="1"/>
    <xf numFmtId="0" fontId="2" fillId="0" borderId="4" xfId="0" applyFont="1" applyBorder="1" applyAlignment="1">
      <alignment horizontal="right"/>
    </xf>
    <xf numFmtId="0" fontId="7" fillId="0" borderId="0" xfId="0" applyFont="1"/>
    <xf numFmtId="2" fontId="4" fillId="3" borderId="0" xfId="0" applyNumberFormat="1" applyFont="1" applyFill="1" applyAlignment="1">
      <alignment horizontal="center"/>
    </xf>
    <xf numFmtId="4" fontId="1" fillId="3" borderId="0" xfId="0" applyNumberFormat="1" applyFont="1" applyFill="1" applyAlignment="1">
      <alignment horizontal="center"/>
    </xf>
    <xf numFmtId="37" fontId="1" fillId="0" borderId="0" xfId="0" applyNumberFormat="1" applyFont="1"/>
    <xf numFmtId="3" fontId="1" fillId="3" borderId="0" xfId="0" applyNumberFormat="1" applyFont="1" applyFill="1" applyAlignment="1">
      <alignment horizontal="center"/>
    </xf>
    <xf numFmtId="10" fontId="1" fillId="0" borderId="0" xfId="1" applyNumberFormat="1" applyFont="1"/>
    <xf numFmtId="0" fontId="1" fillId="3" borderId="0" xfId="0" applyFont="1" applyFill="1" applyAlignment="1">
      <alignment horizontal="center"/>
    </xf>
    <xf numFmtId="0" fontId="13" fillId="0" borderId="0" xfId="0" applyFont="1"/>
    <xf numFmtId="0" fontId="1" fillId="2" borderId="0" xfId="0" applyFont="1" applyFill="1"/>
    <xf numFmtId="0" fontId="1" fillId="0" borderId="17" xfId="0" applyFont="1" applyBorder="1"/>
    <xf numFmtId="0" fontId="1" fillId="0" borderId="18" xfId="0" applyFont="1" applyBorder="1"/>
    <xf numFmtId="2" fontId="1" fillId="3" borderId="16" xfId="0" applyNumberFormat="1" applyFont="1" applyFill="1" applyBorder="1" applyAlignment="1">
      <alignment horizontal="center"/>
    </xf>
    <xf numFmtId="165" fontId="1" fillId="0" borderId="0" xfId="1" applyNumberFormat="1" applyFont="1"/>
    <xf numFmtId="0" fontId="1" fillId="10" borderId="0" xfId="0" applyFont="1" applyFill="1" applyAlignment="1">
      <alignment horizontal="center"/>
    </xf>
    <xf numFmtId="2" fontId="1" fillId="7" borderId="16" xfId="0" applyNumberFormat="1" applyFont="1" applyFill="1" applyBorder="1" applyAlignment="1">
      <alignment horizontal="center"/>
    </xf>
    <xf numFmtId="0" fontId="14" fillId="0" borderId="0" xfId="0" applyFont="1"/>
    <xf numFmtId="0" fontId="2" fillId="11" borderId="0" xfId="0" applyFont="1" applyFill="1"/>
    <xf numFmtId="4" fontId="2" fillId="3" borderId="0" xfId="0" applyNumberFormat="1" applyFont="1" applyFill="1" applyAlignment="1">
      <alignment horizontal="center"/>
    </xf>
    <xf numFmtId="0" fontId="15" fillId="0" borderId="0" xfId="0" applyFont="1"/>
    <xf numFmtId="0" fontId="2" fillId="3" borderId="2" xfId="0" applyFont="1" applyFill="1" applyBorder="1"/>
    <xf numFmtId="0" fontId="2" fillId="3" borderId="4" xfId="0" applyFont="1" applyFill="1" applyBorder="1"/>
    <xf numFmtId="0" fontId="1" fillId="3" borderId="4" xfId="0" applyFont="1" applyFill="1" applyBorder="1"/>
    <xf numFmtId="166" fontId="1" fillId="0" borderId="0" xfId="0" applyNumberFormat="1" applyFont="1"/>
    <xf numFmtId="0" fontId="12" fillId="0" borderId="0" xfId="0" applyFont="1"/>
    <xf numFmtId="166" fontId="1" fillId="0" borderId="0" xfId="0" applyNumberFormat="1" applyFont="1" applyAlignment="1">
      <alignment horizontal="center"/>
    </xf>
    <xf numFmtId="2" fontId="2" fillId="3" borderId="4" xfId="0" applyNumberFormat="1" applyFont="1" applyFill="1" applyBorder="1"/>
    <xf numFmtId="8" fontId="2" fillId="0" borderId="0" xfId="0" applyNumberFormat="1" applyFont="1"/>
    <xf numFmtId="2" fontId="1" fillId="3" borderId="0" xfId="0" applyNumberFormat="1" applyFont="1" applyFill="1"/>
    <xf numFmtId="10" fontId="2" fillId="3" borderId="4" xfId="0" applyNumberFormat="1" applyFont="1" applyFill="1" applyBorder="1"/>
    <xf numFmtId="165" fontId="2" fillId="3" borderId="4" xfId="0" applyNumberFormat="1" applyFont="1" applyFill="1" applyBorder="1"/>
    <xf numFmtId="164" fontId="2" fillId="3" borderId="4" xfId="0" applyNumberFormat="1" applyFont="1" applyFill="1" applyBorder="1"/>
    <xf numFmtId="164" fontId="2" fillId="3" borderId="0" xfId="1" applyNumberFormat="1" applyFont="1" applyFill="1"/>
    <xf numFmtId="167" fontId="1" fillId="0" borderId="0" xfId="1" applyNumberFormat="1" applyFont="1"/>
    <xf numFmtId="0" fontId="1" fillId="0" borderId="1" xfId="0" applyFont="1" applyBorder="1" applyAlignment="1">
      <alignment horizontal="center" wrapText="1"/>
    </xf>
    <xf numFmtId="0" fontId="2" fillId="2" borderId="0" xfId="0" applyFont="1" applyFill="1" applyAlignment="1">
      <alignment horizontal="center"/>
    </xf>
    <xf numFmtId="0" fontId="1" fillId="0" borderId="5" xfId="0" applyFont="1" applyBorder="1" applyAlignment="1">
      <alignment horizontal="center"/>
    </xf>
    <xf numFmtId="0" fontId="2" fillId="10" borderId="0" xfId="0" applyFont="1" applyFill="1"/>
    <xf numFmtId="0" fontId="1" fillId="10" borderId="0" xfId="0" applyFont="1" applyFill="1"/>
    <xf numFmtId="37" fontId="1" fillId="0" borderId="0" xfId="0" applyNumberFormat="1" applyFont="1" applyAlignment="1">
      <alignment horizontal="center"/>
    </xf>
    <xf numFmtId="37" fontId="17" fillId="0" borderId="0" xfId="0" applyNumberFormat="1" applyFont="1" applyAlignment="1">
      <alignment horizontal="center" readingOrder="1"/>
    </xf>
    <xf numFmtId="3" fontId="1" fillId="0" borderId="5" xfId="0" applyNumberFormat="1" applyFont="1" applyBorder="1" applyAlignment="1">
      <alignment horizontal="center"/>
    </xf>
    <xf numFmtId="3" fontId="1" fillId="9" borderId="5" xfId="0" applyNumberFormat="1" applyFont="1" applyFill="1" applyBorder="1" applyAlignment="1">
      <alignment horizontal="center"/>
    </xf>
    <xf numFmtId="37" fontId="1" fillId="0" borderId="5" xfId="0" applyNumberFormat="1" applyFont="1" applyBorder="1" applyAlignment="1">
      <alignment horizontal="center"/>
    </xf>
    <xf numFmtId="37" fontId="1" fillId="12" borderId="5" xfId="0" applyNumberFormat="1" applyFont="1" applyFill="1" applyBorder="1" applyAlignment="1">
      <alignment horizontal="center"/>
    </xf>
    <xf numFmtId="37" fontId="5" fillId="0" borderId="0" xfId="0" applyNumberFormat="1" applyFont="1" applyAlignment="1">
      <alignment horizontal="center"/>
    </xf>
    <xf numFmtId="37" fontId="1" fillId="3" borderId="0" xfId="0" applyNumberFormat="1" applyFont="1" applyFill="1" applyAlignment="1">
      <alignment horizontal="center"/>
    </xf>
    <xf numFmtId="0" fontId="5" fillId="0" borderId="7" xfId="0" applyFont="1" applyBorder="1"/>
    <xf numFmtId="0" fontId="5" fillId="0" borderId="9" xfId="0" applyFont="1" applyBorder="1"/>
    <xf numFmtId="0" fontId="5" fillId="0" borderId="17" xfId="0" applyFont="1" applyBorder="1"/>
    <xf numFmtId="0" fontId="5" fillId="0" borderId="18" xfId="0" applyFont="1" applyBorder="1"/>
    <xf numFmtId="0" fontId="5" fillId="0" borderId="10" xfId="0" applyFont="1" applyBorder="1"/>
    <xf numFmtId="0" fontId="5" fillId="0" borderId="12" xfId="0" applyFont="1" applyBorder="1"/>
    <xf numFmtId="0" fontId="3" fillId="0" borderId="0" xfId="0" applyFont="1"/>
    <xf numFmtId="0" fontId="4" fillId="0" borderId="0" xfId="0" applyFont="1"/>
    <xf numFmtId="0" fontId="4" fillId="0" borderId="1" xfId="0" applyFont="1" applyBorder="1" applyAlignment="1">
      <alignment horizontal="center"/>
    </xf>
    <xf numFmtId="0" fontId="4" fillId="0" borderId="1" xfId="0" applyFont="1" applyBorder="1" applyAlignment="1">
      <alignment horizontal="center" wrapText="1"/>
    </xf>
    <xf numFmtId="3" fontId="4" fillId="0" borderId="0" xfId="0" applyNumberFormat="1" applyFont="1" applyAlignment="1">
      <alignment horizontal="center"/>
    </xf>
    <xf numFmtId="3" fontId="1" fillId="0" borderId="20" xfId="0" applyNumberFormat="1" applyFont="1" applyBorder="1" applyAlignment="1">
      <alignment horizontal="center"/>
    </xf>
    <xf numFmtId="10" fontId="1" fillId="3" borderId="8" xfId="0" applyNumberFormat="1" applyFont="1" applyFill="1" applyBorder="1" applyAlignment="1">
      <alignment horizontal="center"/>
    </xf>
    <xf numFmtId="0" fontId="1" fillId="3" borderId="9" xfId="0" applyFont="1" applyFill="1" applyBorder="1"/>
    <xf numFmtId="10" fontId="1" fillId="3" borderId="11" xfId="0" applyNumberFormat="1" applyFont="1" applyFill="1" applyBorder="1" applyAlignment="1">
      <alignment horizontal="center"/>
    </xf>
    <xf numFmtId="0" fontId="1" fillId="3" borderId="12" xfId="0" applyFont="1" applyFill="1" applyBorder="1"/>
    <xf numFmtId="40" fontId="1" fillId="3" borderId="8" xfId="0" applyNumberFormat="1" applyFont="1" applyFill="1" applyBorder="1" applyAlignment="1">
      <alignment horizontal="center"/>
    </xf>
    <xf numFmtId="40" fontId="1" fillId="3" borderId="11" xfId="0" applyNumberFormat="1" applyFont="1" applyFill="1" applyBorder="1" applyAlignment="1">
      <alignment horizontal="center"/>
    </xf>
    <xf numFmtId="0" fontId="2" fillId="0" borderId="4" xfId="0" applyFont="1" applyBorder="1"/>
    <xf numFmtId="0" fontId="1" fillId="0" borderId="6" xfId="0" applyFont="1" applyBorder="1" applyAlignment="1">
      <alignment horizontal="center"/>
    </xf>
    <xf numFmtId="10" fontId="1" fillId="0" borderId="6" xfId="0" applyNumberFormat="1" applyFont="1" applyBorder="1" applyAlignment="1">
      <alignment horizontal="center"/>
    </xf>
    <xf numFmtId="40" fontId="1" fillId="0" borderId="6" xfId="0" applyNumberFormat="1" applyFont="1" applyBorder="1" applyAlignment="1">
      <alignment horizontal="center"/>
    </xf>
    <xf numFmtId="10" fontId="1" fillId="3" borderId="3" xfId="0" applyNumberFormat="1" applyFont="1" applyFill="1" applyBorder="1" applyAlignment="1">
      <alignment horizontal="center"/>
    </xf>
    <xf numFmtId="0" fontId="2" fillId="0" borderId="7" xfId="0" applyFont="1" applyBorder="1"/>
    <xf numFmtId="0" fontId="2" fillId="0" borderId="10" xfId="0" applyFont="1" applyBorder="1"/>
    <xf numFmtId="0" fontId="6" fillId="0" borderId="0" xfId="0" applyFont="1"/>
    <xf numFmtId="8" fontId="4" fillId="0" borderId="0" xfId="0" applyNumberFormat="1" applyFont="1"/>
    <xf numFmtId="0" fontId="6" fillId="0" borderId="2" xfId="0" applyFont="1" applyBorder="1"/>
    <xf numFmtId="0" fontId="6" fillId="0" borderId="3" xfId="0" applyFont="1" applyBorder="1"/>
    <xf numFmtId="0" fontId="6" fillId="0" borderId="4" xfId="0" applyFont="1" applyBorder="1"/>
    <xf numFmtId="0" fontId="2" fillId="9" borderId="0" xfId="0" applyFont="1" applyFill="1"/>
    <xf numFmtId="1" fontId="1" fillId="13" borderId="0" xfId="0" applyNumberFormat="1" applyFont="1" applyFill="1"/>
    <xf numFmtId="2" fontId="1" fillId="13" borderId="0" xfId="0" applyNumberFormat="1" applyFont="1" applyFill="1" applyAlignment="1">
      <alignment horizontal="center"/>
    </xf>
    <xf numFmtId="1" fontId="1" fillId="13" borderId="0" xfId="0" applyNumberFormat="1" applyFont="1" applyFill="1" applyAlignment="1">
      <alignment horizontal="center"/>
    </xf>
    <xf numFmtId="1" fontId="1" fillId="8" borderId="0" xfId="0" applyNumberFormat="1" applyFont="1" applyFill="1" applyAlignment="1">
      <alignment horizontal="center"/>
    </xf>
    <xf numFmtId="10" fontId="1" fillId="3" borderId="0" xfId="0" applyNumberFormat="1" applyFont="1" applyFill="1" applyAlignment="1">
      <alignment horizontal="center"/>
    </xf>
    <xf numFmtId="1" fontId="1" fillId="13" borderId="13" xfId="0" applyNumberFormat="1" applyFont="1" applyFill="1" applyBorder="1" applyAlignment="1">
      <alignment horizontal="center"/>
    </xf>
    <xf numFmtId="166" fontId="1" fillId="3" borderId="0" xfId="0" applyNumberFormat="1" applyFont="1" applyFill="1" applyAlignment="1">
      <alignment horizontal="center"/>
    </xf>
    <xf numFmtId="9" fontId="1" fillId="3" borderId="0" xfId="0" applyNumberFormat="1" applyFont="1" applyFill="1" applyAlignment="1">
      <alignment horizontal="center"/>
    </xf>
    <xf numFmtId="165" fontId="1" fillId="0" borderId="0" xfId="0" applyNumberFormat="1" applyFont="1" applyAlignment="1">
      <alignment horizontal="center"/>
    </xf>
    <xf numFmtId="165" fontId="1" fillId="3" borderId="0" xfId="0" applyNumberFormat="1" applyFont="1" applyFill="1" applyAlignment="1">
      <alignment horizontal="center"/>
    </xf>
    <xf numFmtId="1" fontId="1" fillId="0" borderId="0" xfId="0" applyNumberFormat="1" applyFont="1" applyAlignment="1">
      <alignment horizontal="center"/>
    </xf>
    <xf numFmtId="0" fontId="2" fillId="5" borderId="0" xfId="0" applyFont="1" applyFill="1"/>
    <xf numFmtId="0" fontId="1" fillId="5" borderId="0" xfId="0" applyFont="1" applyFill="1"/>
    <xf numFmtId="37" fontId="8" fillId="0" borderId="0" xfId="0" applyNumberFormat="1" applyFont="1" applyAlignment="1">
      <alignment horizontal="center"/>
    </xf>
    <xf numFmtId="37" fontId="8" fillId="3" borderId="0" xfId="0" applyNumberFormat="1" applyFont="1" applyFill="1" applyAlignment="1">
      <alignment horizontal="center"/>
    </xf>
    <xf numFmtId="37" fontId="8" fillId="14" borderId="0" xfId="0" applyNumberFormat="1" applyFont="1" applyFill="1" applyAlignment="1">
      <alignment horizontal="center"/>
    </xf>
    <xf numFmtId="164" fontId="1" fillId="0" borderId="0" xfId="0" applyNumberFormat="1" applyFont="1"/>
    <xf numFmtId="0" fontId="2" fillId="15" borderId="0" xfId="0" applyFont="1" applyFill="1"/>
    <xf numFmtId="0" fontId="2" fillId="0" borderId="17" xfId="0" applyFont="1" applyBorder="1" applyAlignment="1">
      <alignment horizontal="center"/>
    </xf>
    <xf numFmtId="0" fontId="2" fillId="0" borderId="18"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1" fillId="0" borderId="10" xfId="0" applyFont="1" applyBorder="1" applyAlignment="1">
      <alignment horizontal="center"/>
    </xf>
    <xf numFmtId="0" fontId="1" fillId="0" borderId="12" xfId="0" applyFont="1" applyBorder="1" applyAlignment="1">
      <alignment horizontal="center"/>
    </xf>
    <xf numFmtId="37" fontId="2" fillId="3" borderId="5" xfId="0" applyNumberFormat="1" applyFont="1" applyFill="1" applyBorder="1"/>
    <xf numFmtId="37" fontId="1" fillId="0" borderId="5" xfId="0" applyNumberFormat="1" applyFont="1" applyBorder="1"/>
    <xf numFmtId="3" fontId="1" fillId="14" borderId="0" xfId="0" applyNumberFormat="1" applyFont="1" applyFill="1"/>
    <xf numFmtId="0" fontId="1" fillId="0" borderId="11" xfId="0" applyFont="1" applyBorder="1" applyAlignment="1">
      <alignment horizontal="center"/>
    </xf>
    <xf numFmtId="164" fontId="1" fillId="0" borderId="0" xfId="1" applyNumberFormat="1" applyFont="1"/>
    <xf numFmtId="0" fontId="1" fillId="0" borderId="6" xfId="0" applyFont="1" applyBorder="1" applyAlignment="1">
      <alignment horizontal="right"/>
    </xf>
    <xf numFmtId="1" fontId="1" fillId="0" borderId="0" xfId="0" applyNumberFormat="1" applyFont="1"/>
    <xf numFmtId="37" fontId="4" fillId="0" borderId="0" xfId="0" applyNumberFormat="1" applyFont="1" applyAlignment="1">
      <alignment horizontal="center"/>
    </xf>
    <xf numFmtId="168" fontId="1" fillId="0" borderId="0" xfId="0" applyNumberFormat="1" applyFont="1"/>
    <xf numFmtId="0" fontId="1" fillId="0" borderId="0" xfId="0" quotePrefix="1" applyFont="1" applyAlignment="1">
      <alignment horizontal="center"/>
    </xf>
    <xf numFmtId="0" fontId="1" fillId="16" borderId="0" xfId="0" applyFont="1" applyFill="1"/>
    <xf numFmtId="0" fontId="2" fillId="16" borderId="0" xfId="0" applyFont="1" applyFill="1"/>
    <xf numFmtId="37" fontId="1" fillId="3" borderId="0" xfId="0" applyNumberFormat="1" applyFont="1" applyFill="1"/>
    <xf numFmtId="8" fontId="1" fillId="3" borderId="0" xfId="0" applyNumberFormat="1" applyFont="1" applyFill="1"/>
    <xf numFmtId="9" fontId="1" fillId="0" borderId="0" xfId="1" applyFont="1"/>
    <xf numFmtId="169" fontId="1" fillId="3" borderId="0" xfId="0" applyNumberFormat="1" applyFont="1" applyFill="1"/>
    <xf numFmtId="4" fontId="1" fillId="0" borderId="0" xfId="0" applyNumberFormat="1" applyFont="1" applyAlignment="1">
      <alignment horizontal="center"/>
    </xf>
    <xf numFmtId="170" fontId="1" fillId="0" borderId="0" xfId="0" applyNumberFormat="1" applyFont="1"/>
    <xf numFmtId="0" fontId="18" fillId="0" borderId="0" xfId="0" applyFont="1"/>
    <xf numFmtId="0" fontId="18" fillId="0" borderId="0" xfId="0" applyFont="1" applyAlignment="1">
      <alignment horizontal="center"/>
    </xf>
    <xf numFmtId="0" fontId="4" fillId="0" borderId="1" xfId="0" applyFont="1" applyBorder="1"/>
    <xf numFmtId="9" fontId="1" fillId="0" borderId="0" xfId="1" applyFont="1" applyAlignment="1">
      <alignment horizontal="center"/>
    </xf>
    <xf numFmtId="1" fontId="1" fillId="3" borderId="13" xfId="0" applyNumberFormat="1" applyFont="1" applyFill="1" applyBorder="1" applyAlignment="1">
      <alignment horizontal="center"/>
    </xf>
    <xf numFmtId="1" fontId="5" fillId="0" borderId="0" xfId="0" applyNumberFormat="1" applyFont="1"/>
    <xf numFmtId="1" fontId="2" fillId="3" borderId="0" xfId="0" applyNumberFormat="1" applyFont="1" applyFill="1" applyAlignment="1">
      <alignment horizontal="center"/>
    </xf>
    <xf numFmtId="1" fontId="5" fillId="0" borderId="0" xfId="0" applyNumberFormat="1" applyFont="1" applyAlignment="1">
      <alignment horizontal="center"/>
    </xf>
    <xf numFmtId="10" fontId="19" fillId="0" borderId="0" xfId="1" applyNumberFormat="1" applyFont="1" applyAlignment="1">
      <alignment horizontal="center"/>
    </xf>
    <xf numFmtId="0" fontId="19" fillId="0" borderId="0" xfId="0" applyFont="1" applyAlignment="1">
      <alignment horizontal="center"/>
    </xf>
    <xf numFmtId="3" fontId="1" fillId="0" borderId="0" xfId="0" applyNumberFormat="1" applyFont="1" applyAlignment="1">
      <alignment horizontal="right"/>
    </xf>
    <xf numFmtId="37" fontId="17" fillId="0" borderId="0" xfId="0" applyNumberFormat="1" applyFont="1" applyAlignment="1">
      <alignment horizontal="right" readingOrder="1"/>
    </xf>
    <xf numFmtId="37" fontId="1" fillId="0" borderId="0" xfId="0" applyNumberFormat="1" applyFont="1" applyAlignment="1">
      <alignment horizontal="right"/>
    </xf>
    <xf numFmtId="0" fontId="1" fillId="0" borderId="23" xfId="0" applyFont="1" applyBorder="1" applyAlignment="1">
      <alignment horizontal="center"/>
    </xf>
    <xf numFmtId="0" fontId="1" fillId="0" borderId="24" xfId="0" applyFont="1" applyBorder="1" applyAlignment="1">
      <alignment horizontal="center"/>
    </xf>
    <xf numFmtId="2" fontId="5" fillId="3" borderId="0" xfId="0" applyNumberFormat="1" applyFont="1" applyFill="1" applyAlignment="1">
      <alignment horizontal="center"/>
    </xf>
    <xf numFmtId="2" fontId="5" fillId="0" borderId="0" xfId="0" applyNumberFormat="1" applyFont="1" applyAlignment="1">
      <alignment horizontal="center"/>
    </xf>
    <xf numFmtId="2" fontId="2" fillId="9" borderId="0" xfId="0" applyNumberFormat="1" applyFont="1" applyFill="1" applyAlignment="1">
      <alignment horizontal="center"/>
    </xf>
    <xf numFmtId="2" fontId="1" fillId="3" borderId="13" xfId="0" applyNumberFormat="1" applyFont="1" applyFill="1" applyBorder="1"/>
    <xf numFmtId="3" fontId="1" fillId="3" borderId="13" xfId="0" applyNumberFormat="1" applyFont="1" applyFill="1" applyBorder="1"/>
    <xf numFmtId="8" fontId="1" fillId="3" borderId="0" xfId="0" applyNumberFormat="1" applyFont="1" applyFill="1" applyAlignment="1">
      <alignment horizontal="center"/>
    </xf>
    <xf numFmtId="10" fontId="2" fillId="3" borderId="0" xfId="0" applyNumberFormat="1" applyFont="1" applyFill="1"/>
    <xf numFmtId="0" fontId="2" fillId="3" borderId="0" xfId="0" applyFont="1" applyFill="1" applyAlignment="1">
      <alignment horizontal="center"/>
    </xf>
    <xf numFmtId="0" fontId="20" fillId="2" borderId="0" xfId="0" applyFont="1" applyFill="1"/>
    <xf numFmtId="0" fontId="4" fillId="0" borderId="20" xfId="0" applyFont="1" applyBorder="1" applyAlignment="1">
      <alignment horizontal="center"/>
    </xf>
    <xf numFmtId="0" fontId="3" fillId="0" borderId="20" xfId="0" applyFont="1" applyBorder="1"/>
    <xf numFmtId="0" fontId="4" fillId="0" borderId="20" xfId="0" applyFont="1" applyBorder="1"/>
    <xf numFmtId="0" fontId="6" fillId="0" borderId="0" xfId="0" applyFont="1" applyAlignment="1">
      <alignment horizontal="center"/>
    </xf>
    <xf numFmtId="0" fontId="20" fillId="0" borderId="0" xfId="0" applyFont="1"/>
    <xf numFmtId="0" fontId="1" fillId="0" borderId="20" xfId="0" applyFont="1" applyBorder="1" applyAlignment="1">
      <alignment horizontal="center"/>
    </xf>
    <xf numFmtId="0" fontId="3" fillId="17" borderId="0" xfId="0" applyFont="1" applyFill="1" applyAlignment="1">
      <alignment horizontal="center"/>
    </xf>
    <xf numFmtId="0" fontId="2" fillId="0" borderId="17" xfId="0" applyFont="1" applyBorder="1"/>
    <xf numFmtId="0" fontId="2" fillId="18" borderId="0" xfId="0" applyFont="1" applyFill="1"/>
    <xf numFmtId="0" fontId="1" fillId="18" borderId="0" xfId="0" applyFont="1" applyFill="1"/>
    <xf numFmtId="2" fontId="21" fillId="5" borderId="0" xfId="0" applyNumberFormat="1" applyFont="1" applyFill="1" applyAlignment="1">
      <alignment horizontal="center"/>
    </xf>
    <xf numFmtId="0" fontId="1" fillId="3" borderId="0" xfId="0" applyFont="1" applyFill="1" applyAlignment="1">
      <alignment horizontal="center" vertical="center"/>
    </xf>
    <xf numFmtId="0" fontId="3" fillId="0" borderId="0" xfId="0" applyFont="1" applyAlignment="1">
      <alignment horizontal="center"/>
    </xf>
    <xf numFmtId="0" fontId="22" fillId="0" borderId="0" xfId="0" applyFont="1" applyAlignment="1">
      <alignment horizontal="center"/>
    </xf>
    <xf numFmtId="9" fontId="4" fillId="0" borderId="0" xfId="0" applyNumberFormat="1" applyFont="1" applyAlignment="1">
      <alignment horizontal="center"/>
    </xf>
    <xf numFmtId="0" fontId="23" fillId="0" borderId="0" xfId="0" applyFont="1"/>
    <xf numFmtId="0" fontId="24" fillId="0" borderId="0" xfId="0" applyFont="1"/>
    <xf numFmtId="0" fontId="25" fillId="0" borderId="0" xfId="0" applyFont="1"/>
    <xf numFmtId="0" fontId="26" fillId="9" borderId="0" xfId="0" applyFont="1" applyFill="1" applyAlignment="1">
      <alignment horizontal="center"/>
    </xf>
    <xf numFmtId="2" fontId="4" fillId="7" borderId="13" xfId="0" applyNumberFormat="1" applyFont="1" applyFill="1" applyBorder="1" applyAlignment="1">
      <alignment horizontal="center"/>
    </xf>
    <xf numFmtId="14" fontId="2" fillId="3" borderId="0" xfId="0" applyNumberFormat="1" applyFont="1" applyFill="1"/>
    <xf numFmtId="0" fontId="2" fillId="12" borderId="17" xfId="0" applyFont="1" applyFill="1" applyBorder="1"/>
    <xf numFmtId="0" fontId="1" fillId="12" borderId="0" xfId="0" applyFont="1" applyFill="1"/>
    <xf numFmtId="0" fontId="1" fillId="12" borderId="18" xfId="0" applyFont="1" applyFill="1" applyBorder="1"/>
    <xf numFmtId="0" fontId="27" fillId="0" borderId="0" xfId="0" applyFont="1"/>
    <xf numFmtId="0" fontId="28" fillId="0" borderId="2" xfId="0" applyFont="1" applyBorder="1"/>
    <xf numFmtId="0" fontId="28" fillId="0" borderId="3" xfId="0" applyFont="1" applyBorder="1"/>
    <xf numFmtId="0" fontId="28" fillId="0" borderId="4" xfId="0" applyFont="1" applyBorder="1"/>
    <xf numFmtId="10" fontId="1" fillId="3" borderId="0" xfId="1" applyNumberFormat="1" applyFont="1" applyFill="1"/>
    <xf numFmtId="0" fontId="1" fillId="0" borderId="0" xfId="0" applyFont="1" applyAlignment="1">
      <alignment vertical="center"/>
    </xf>
    <xf numFmtId="0" fontId="1" fillId="0" borderId="0" xfId="0" applyFont="1" applyAlignment="1">
      <alignment horizontal="center" vertical="center"/>
    </xf>
    <xf numFmtId="0" fontId="1" fillId="3" borderId="13" xfId="0" applyFont="1" applyFill="1" applyBorder="1" applyAlignment="1">
      <alignment horizontal="center" vertical="center"/>
    </xf>
    <xf numFmtId="0" fontId="29" fillId="0" borderId="0" xfId="0" applyFont="1"/>
    <xf numFmtId="0" fontId="1" fillId="3" borderId="13" xfId="0" applyFont="1" applyFill="1" applyBorder="1" applyAlignment="1">
      <alignment horizontal="center"/>
    </xf>
    <xf numFmtId="0" fontId="5" fillId="0" borderId="8" xfId="0" applyFont="1" applyBorder="1"/>
    <xf numFmtId="0" fontId="5" fillId="0" borderId="0" xfId="0" applyFont="1"/>
    <xf numFmtId="0" fontId="30" fillId="0" borderId="0" xfId="0" applyFont="1"/>
    <xf numFmtId="10" fontId="5" fillId="3" borderId="0" xfId="1" applyNumberFormat="1" applyFont="1" applyFill="1" applyBorder="1"/>
    <xf numFmtId="0" fontId="5" fillId="0" borderId="11" xfId="0" applyFont="1" applyBorder="1"/>
    <xf numFmtId="2" fontId="1" fillId="0" borderId="0" xfId="0" applyNumberFormat="1" applyFont="1" applyAlignment="1">
      <alignment horizontal="center" vertical="center"/>
    </xf>
    <xf numFmtId="14" fontId="1" fillId="3" borderId="0" xfId="0" applyNumberFormat="1" applyFont="1" applyFill="1"/>
    <xf numFmtId="3" fontId="1" fillId="0" borderId="1" xfId="0" applyNumberFormat="1" applyFont="1" applyBorder="1" applyAlignment="1">
      <alignment horizontal="center"/>
    </xf>
    <xf numFmtId="164" fontId="1" fillId="12" borderId="0" xfId="0" applyNumberFormat="1" applyFont="1" applyFill="1" applyAlignment="1">
      <alignment horizontal="center"/>
    </xf>
    <xf numFmtId="164" fontId="1" fillId="3" borderId="0" xfId="1" applyNumberFormat="1" applyFont="1" applyFill="1"/>
    <xf numFmtId="0" fontId="31" fillId="0" borderId="0" xfId="0" applyFont="1" applyAlignment="1">
      <alignment horizontal="center"/>
    </xf>
    <xf numFmtId="2" fontId="1" fillId="12" borderId="13" xfId="0" applyNumberFormat="1" applyFont="1" applyFill="1" applyBorder="1" applyAlignment="1">
      <alignment horizontal="center"/>
    </xf>
    <xf numFmtId="0" fontId="1" fillId="0" borderId="25" xfId="0" applyFont="1" applyBorder="1" applyAlignment="1">
      <alignment horizontal="center"/>
    </xf>
    <xf numFmtId="10" fontId="1" fillId="0" borderId="0" xfId="1" applyNumberFormat="1" applyFont="1" applyAlignment="1">
      <alignment horizontal="center" vertical="center"/>
    </xf>
    <xf numFmtId="0" fontId="2" fillId="12" borderId="0" xfId="0" applyFont="1" applyFill="1" applyAlignment="1">
      <alignment horizontal="center"/>
    </xf>
    <xf numFmtId="0" fontId="1" fillId="0" borderId="7" xfId="0" applyFont="1" applyBorder="1" applyAlignment="1">
      <alignment horizontal="center"/>
    </xf>
    <xf numFmtId="0" fontId="2" fillId="0" borderId="1" xfId="0" applyFont="1" applyBorder="1"/>
    <xf numFmtId="164" fontId="2" fillId="12" borderId="0" xfId="0" applyNumberFormat="1" applyFont="1" applyFill="1" applyAlignment="1">
      <alignment horizontal="center"/>
    </xf>
    <xf numFmtId="0" fontId="32" fillId="0" borderId="0" xfId="0" applyFont="1" applyAlignment="1">
      <alignment horizontal="center"/>
    </xf>
    <xf numFmtId="164" fontId="1" fillId="3" borderId="0" xfId="0" applyNumberFormat="1" applyFont="1" applyFill="1" applyAlignment="1">
      <alignment horizontal="center"/>
    </xf>
    <xf numFmtId="2" fontId="1" fillId="12" borderId="0" xfId="0" applyNumberFormat="1" applyFont="1" applyFill="1"/>
    <xf numFmtId="0" fontId="17" fillId="0" borderId="0" xfId="0" applyFont="1" applyAlignment="1">
      <alignment readingOrder="2"/>
    </xf>
    <xf numFmtId="0" fontId="17" fillId="0" borderId="0" xfId="0" applyFont="1" applyAlignment="1">
      <alignment readingOrder="1"/>
    </xf>
    <xf numFmtId="0" fontId="1" fillId="10" borderId="0" xfId="0" applyFont="1" applyFill="1" applyAlignment="1">
      <alignment horizontal="right"/>
    </xf>
    <xf numFmtId="4" fontId="6" fillId="3" borderId="0" xfId="0" applyNumberFormat="1" applyFont="1" applyFill="1" applyAlignment="1">
      <alignment horizontal="center"/>
    </xf>
    <xf numFmtId="0" fontId="33" fillId="0" borderId="0" xfId="0" applyFont="1"/>
    <xf numFmtId="166" fontId="4" fillId="0" borderId="0" xfId="0" applyNumberFormat="1" applyFont="1" applyAlignment="1">
      <alignment horizontal="center"/>
    </xf>
    <xf numFmtId="166" fontId="1" fillId="3" borderId="0" xfId="0" applyNumberFormat="1" applyFont="1" applyFill="1"/>
    <xf numFmtId="168" fontId="1" fillId="0" borderId="0" xfId="1" applyNumberFormat="1" applyFont="1"/>
    <xf numFmtId="166" fontId="17" fillId="19" borderId="0" xfId="0" applyNumberFormat="1" applyFont="1" applyFill="1" applyAlignment="1">
      <alignment readingOrder="1"/>
    </xf>
    <xf numFmtId="172" fontId="17" fillId="0" borderId="0" xfId="1" applyNumberFormat="1" applyFont="1" applyAlignment="1">
      <alignment readingOrder="1"/>
    </xf>
    <xf numFmtId="171" fontId="1" fillId="0" borderId="0" xfId="1" applyNumberFormat="1" applyFont="1"/>
    <xf numFmtId="1" fontId="1" fillId="20" borderId="0" xfId="0" applyNumberFormat="1" applyFont="1" applyFill="1"/>
    <xf numFmtId="0" fontId="1" fillId="0" borderId="0" xfId="0" applyFont="1" applyAlignment="1">
      <alignment vertical="top"/>
    </xf>
    <xf numFmtId="3" fontId="4" fillId="0" borderId="20" xfId="0" applyNumberFormat="1" applyFont="1" applyBorder="1" applyAlignment="1">
      <alignment horizontal="center"/>
    </xf>
    <xf numFmtId="168" fontId="4" fillId="0" borderId="0" xfId="0" applyNumberFormat="1" applyFont="1"/>
    <xf numFmtId="164" fontId="4" fillId="9" borderId="0" xfId="0" applyNumberFormat="1" applyFont="1" applyFill="1" applyAlignment="1">
      <alignment horizontal="center"/>
    </xf>
    <xf numFmtId="10" fontId="1" fillId="0" borderId="0" xfId="0" applyNumberFormat="1" applyFont="1"/>
    <xf numFmtId="164" fontId="1" fillId="9" borderId="0" xfId="0" applyNumberFormat="1" applyFont="1" applyFill="1" applyAlignment="1">
      <alignment horizontal="center"/>
    </xf>
    <xf numFmtId="10" fontId="1" fillId="21" borderId="6" xfId="0" applyNumberFormat="1" applyFont="1" applyFill="1" applyBorder="1" applyAlignment="1">
      <alignment horizontal="center"/>
    </xf>
    <xf numFmtId="40" fontId="1" fillId="21" borderId="6" xfId="0" applyNumberFormat="1" applyFont="1" applyFill="1" applyBorder="1" applyAlignment="1">
      <alignment horizontal="center"/>
    </xf>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4" fillId="0" borderId="17" xfId="0" applyFont="1" applyBorder="1"/>
    <xf numFmtId="0" fontId="4" fillId="0" borderId="18" xfId="0" applyFont="1" applyBorder="1"/>
    <xf numFmtId="9" fontId="4" fillId="0" borderId="17" xfId="0" applyNumberFormat="1" applyFont="1" applyBorder="1"/>
    <xf numFmtId="0" fontId="4" fillId="0" borderId="10" xfId="0" applyFont="1" applyBorder="1"/>
    <xf numFmtId="0" fontId="4" fillId="0" borderId="11" xfId="0" applyFont="1" applyBorder="1"/>
    <xf numFmtId="0" fontId="4" fillId="0" borderId="12" xfId="0" applyFont="1" applyBorder="1"/>
    <xf numFmtId="3" fontId="5" fillId="0" borderId="0" xfId="0" applyNumberFormat="1" applyFont="1" applyAlignment="1">
      <alignment horizontal="center"/>
    </xf>
    <xf numFmtId="3" fontId="34" fillId="0" borderId="0" xfId="0" applyNumberFormat="1" applyFont="1" applyAlignment="1">
      <alignment horizontal="center"/>
    </xf>
    <xf numFmtId="0" fontId="35" fillId="0" borderId="0" xfId="0" applyFont="1" applyAlignment="1">
      <alignment horizontal="center"/>
    </xf>
    <xf numFmtId="173" fontId="4" fillId="0" borderId="0" xfId="0" applyNumberFormat="1" applyFont="1" applyAlignment="1">
      <alignment horizontal="center"/>
    </xf>
    <xf numFmtId="0" fontId="22" fillId="0" borderId="0" xfId="0" applyFont="1"/>
    <xf numFmtId="37" fontId="4" fillId="0" borderId="0" xfId="0" applyNumberFormat="1" applyFont="1" applyAlignment="1">
      <alignment horizontal="center" readingOrder="1"/>
    </xf>
    <xf numFmtId="3" fontId="4" fillId="9" borderId="5" xfId="0" applyNumberFormat="1" applyFont="1" applyFill="1" applyBorder="1" applyAlignment="1">
      <alignment horizontal="center"/>
    </xf>
    <xf numFmtId="0" fontId="6" fillId="0" borderId="3" xfId="0" applyFont="1" applyBorder="1" applyAlignment="1">
      <alignment horizontal="center"/>
    </xf>
    <xf numFmtId="3" fontId="6" fillId="9" borderId="3" xfId="0" applyNumberFormat="1" applyFont="1" applyFill="1" applyBorder="1" applyAlignment="1">
      <alignment horizontal="center"/>
    </xf>
    <xf numFmtId="3" fontId="6" fillId="9" borderId="4" xfId="0" applyNumberFormat="1" applyFont="1" applyFill="1" applyBorder="1" applyAlignment="1">
      <alignment horizontal="center"/>
    </xf>
    <xf numFmtId="37" fontId="6" fillId="12" borderId="5" xfId="0" applyNumberFormat="1" applyFont="1" applyFill="1" applyBorder="1" applyAlignment="1">
      <alignment horizontal="center"/>
    </xf>
    <xf numFmtId="37" fontId="4" fillId="4" borderId="0" xfId="0" applyNumberFormat="1" applyFont="1" applyFill="1" applyAlignment="1">
      <alignment horizontal="center" readingOrder="1"/>
    </xf>
    <xf numFmtId="37" fontId="4" fillId="8" borderId="0" xfId="0" applyNumberFormat="1" applyFont="1" applyFill="1" applyAlignment="1">
      <alignment horizontal="center"/>
    </xf>
    <xf numFmtId="37" fontId="4" fillId="12" borderId="5" xfId="0" applyNumberFormat="1" applyFont="1" applyFill="1" applyBorder="1" applyAlignment="1">
      <alignment horizontal="center"/>
    </xf>
    <xf numFmtId="0" fontId="6" fillId="0" borderId="18" xfId="0" applyFont="1" applyBorder="1"/>
    <xf numFmtId="0" fontId="3" fillId="0" borderId="1" xfId="0" applyFont="1" applyBorder="1"/>
    <xf numFmtId="0" fontId="7" fillId="0" borderId="0" xfId="0" applyFont="1" applyAlignment="1">
      <alignment horizontal="right"/>
    </xf>
    <xf numFmtId="0" fontId="2" fillId="3" borderId="26" xfId="0" applyFont="1" applyFill="1" applyBorder="1" applyAlignment="1">
      <alignment horizontal="center"/>
    </xf>
    <xf numFmtId="0" fontId="2" fillId="22" borderId="0" xfId="0" applyFont="1" applyFill="1" applyAlignment="1">
      <alignment horizontal="center"/>
    </xf>
    <xf numFmtId="2" fontId="21" fillId="18" borderId="33" xfId="0" applyNumberFormat="1" applyFont="1" applyFill="1" applyBorder="1" applyAlignment="1">
      <alignment horizontal="center"/>
    </xf>
    <xf numFmtId="0" fontId="21" fillId="0" borderId="34" xfId="0" applyFont="1" applyBorder="1" applyAlignment="1">
      <alignment horizontal="center"/>
    </xf>
    <xf numFmtId="0" fontId="1" fillId="0" borderId="0" xfId="0" quotePrefix="1" applyFont="1"/>
    <xf numFmtId="3" fontId="2" fillId="12" borderId="0" xfId="0" applyNumberFormat="1" applyFont="1" applyFill="1" applyAlignment="1">
      <alignment horizontal="center"/>
    </xf>
    <xf numFmtId="0" fontId="2" fillId="12" borderId="13" xfId="0" applyFont="1" applyFill="1" applyBorder="1" applyAlignment="1">
      <alignment horizontal="center"/>
    </xf>
    <xf numFmtId="164" fontId="1" fillId="12" borderId="0" xfId="1" applyNumberFormat="1" applyFont="1" applyFill="1"/>
    <xf numFmtId="165" fontId="1" fillId="12" borderId="0" xfId="1" applyNumberFormat="1" applyFont="1" applyFill="1"/>
    <xf numFmtId="10" fontId="1" fillId="12" borderId="0" xfId="1" applyNumberFormat="1" applyFont="1" applyFill="1"/>
    <xf numFmtId="165" fontId="2" fillId="0" borderId="0" xfId="0" applyNumberFormat="1" applyFont="1"/>
    <xf numFmtId="173" fontId="1" fillId="0" borderId="0" xfId="0" applyNumberFormat="1" applyFont="1" applyAlignment="1">
      <alignment horizontal="center"/>
    </xf>
    <xf numFmtId="2" fontId="1" fillId="23" borderId="0" xfId="0" applyNumberFormat="1" applyFont="1" applyFill="1" applyAlignment="1">
      <alignment horizontal="center"/>
    </xf>
    <xf numFmtId="0" fontId="32" fillId="0" borderId="0" xfId="0" applyFont="1"/>
    <xf numFmtId="164" fontId="1" fillId="9" borderId="11" xfId="0" applyNumberFormat="1" applyFont="1" applyFill="1" applyBorder="1" applyAlignment="1">
      <alignment horizontal="center"/>
    </xf>
    <xf numFmtId="0" fontId="1" fillId="20" borderId="0" xfId="0" applyFont="1" applyFill="1"/>
    <xf numFmtId="2" fontId="2" fillId="24" borderId="0" xfId="0" applyNumberFormat="1" applyFont="1" applyFill="1" applyAlignment="1">
      <alignment horizontal="center"/>
    </xf>
    <xf numFmtId="2" fontId="2" fillId="0" borderId="0" xfId="0" applyNumberFormat="1" applyFont="1" applyAlignment="1">
      <alignment horizontal="center"/>
    </xf>
    <xf numFmtId="0" fontId="2" fillId="24" borderId="0" xfId="0" applyFont="1" applyFill="1"/>
    <xf numFmtId="39" fontId="1" fillId="18" borderId="0" xfId="0" applyNumberFormat="1" applyFont="1" applyFill="1" applyAlignment="1">
      <alignment horizontal="center"/>
    </xf>
    <xf numFmtId="3" fontId="1" fillId="0" borderId="17" xfId="0" applyNumberFormat="1" applyFont="1" applyBorder="1" applyAlignment="1">
      <alignment horizontal="center"/>
    </xf>
    <xf numFmtId="3" fontId="1" fillId="0" borderId="18" xfId="0" applyNumberFormat="1" applyFont="1" applyBorder="1" applyAlignment="1">
      <alignment horizontal="center"/>
    </xf>
    <xf numFmtId="174" fontId="1" fillId="3" borderId="0" xfId="0" applyNumberFormat="1" applyFont="1" applyFill="1" applyAlignment="1">
      <alignment horizontal="center"/>
    </xf>
    <xf numFmtId="2" fontId="1" fillId="21" borderId="0" xfId="0" applyNumberFormat="1" applyFont="1" applyFill="1" applyAlignment="1">
      <alignment horizontal="center"/>
    </xf>
    <xf numFmtId="10" fontId="2" fillId="0" borderId="0" xfId="1" applyNumberFormat="1" applyFont="1" applyAlignment="1">
      <alignment horizontal="center"/>
    </xf>
    <xf numFmtId="164" fontId="1" fillId="0" borderId="0" xfId="1" applyNumberFormat="1" applyFont="1" applyBorder="1"/>
    <xf numFmtId="0" fontId="2" fillId="0" borderId="11" xfId="0" applyFont="1" applyBorder="1"/>
    <xf numFmtId="2" fontId="1" fillId="3" borderId="11" xfId="0" applyNumberFormat="1" applyFont="1" applyFill="1" applyBorder="1"/>
    <xf numFmtId="0" fontId="2" fillId="0" borderId="8" xfId="0" applyFont="1" applyBorder="1"/>
    <xf numFmtId="0" fontId="38" fillId="0" borderId="0" xfId="0" applyFont="1"/>
    <xf numFmtId="0" fontId="2" fillId="3" borderId="0" xfId="0" applyFont="1" applyFill="1" applyAlignment="1">
      <alignment horizontal="center" vertical="center"/>
    </xf>
    <xf numFmtId="0" fontId="2" fillId="0" borderId="9" xfId="0" applyFont="1" applyBorder="1"/>
    <xf numFmtId="0" fontId="2" fillId="0" borderId="18" xfId="0" applyFont="1" applyBorder="1"/>
    <xf numFmtId="0" fontId="2" fillId="0" borderId="12" xfId="0" applyFont="1" applyBorder="1"/>
    <xf numFmtId="2" fontId="1" fillId="12" borderId="0" xfId="0" applyNumberFormat="1" applyFont="1" applyFill="1" applyAlignment="1">
      <alignment horizontal="center"/>
    </xf>
    <xf numFmtId="8" fontId="1" fillId="12" borderId="0" xfId="0" applyNumberFormat="1" applyFont="1" applyFill="1" applyAlignment="1">
      <alignment horizontal="center"/>
    </xf>
    <xf numFmtId="0" fontId="1" fillId="2" borderId="0" xfId="0" applyFont="1" applyFill="1" applyAlignment="1">
      <alignment horizontal="center"/>
    </xf>
    <xf numFmtId="0" fontId="1" fillId="18" borderId="0" xfId="0" applyFont="1" applyFill="1" applyAlignment="1">
      <alignment horizontal="center"/>
    </xf>
    <xf numFmtId="2" fontId="2" fillId="3" borderId="0" xfId="0" applyNumberFormat="1" applyFont="1" applyFill="1"/>
    <xf numFmtId="10" fontId="2" fillId="3" borderId="0" xfId="1" applyNumberFormat="1" applyFont="1" applyFill="1"/>
    <xf numFmtId="0" fontId="2" fillId="7" borderId="0" xfId="0" applyFont="1" applyFill="1"/>
    <xf numFmtId="165" fontId="1" fillId="24" borderId="0" xfId="0" applyNumberFormat="1" applyFont="1" applyFill="1" applyAlignment="1">
      <alignment horizontal="center"/>
    </xf>
    <xf numFmtId="171" fontId="2" fillId="2" borderId="0" xfId="1" applyNumberFormat="1" applyFont="1" applyFill="1"/>
    <xf numFmtId="2" fontId="1" fillId="5" borderId="0" xfId="0" applyNumberFormat="1" applyFont="1" applyFill="1" applyAlignment="1">
      <alignment horizontal="center"/>
    </xf>
    <xf numFmtId="175" fontId="1" fillId="0" borderId="0" xfId="0" applyNumberFormat="1" applyFont="1" applyAlignment="1">
      <alignment horizontal="center"/>
    </xf>
    <xf numFmtId="173" fontId="2" fillId="3" borderId="0" xfId="0" applyNumberFormat="1" applyFont="1" applyFill="1" applyAlignment="1">
      <alignment horizontal="center"/>
    </xf>
    <xf numFmtId="176" fontId="1" fillId="3" borderId="0" xfId="0" applyNumberFormat="1" applyFont="1" applyFill="1" applyAlignment="1">
      <alignment horizontal="center"/>
    </xf>
    <xf numFmtId="0" fontId="2" fillId="25" borderId="0" xfId="0" applyFont="1" applyFill="1"/>
    <xf numFmtId="0" fontId="1" fillId="25" borderId="0" xfId="0" applyFont="1" applyFill="1"/>
    <xf numFmtId="0" fontId="1" fillId="0" borderId="1" xfId="0" applyFont="1" applyBorder="1" applyAlignment="1">
      <alignment horizontal="right"/>
    </xf>
    <xf numFmtId="0" fontId="8" fillId="0" borderId="0" xfId="0" applyFont="1" applyAlignment="1">
      <alignment horizontal="right"/>
    </xf>
    <xf numFmtId="3" fontId="1" fillId="14" borderId="0" xfId="0" applyNumberFormat="1" applyFont="1" applyFill="1" applyAlignment="1">
      <alignment horizontal="center"/>
    </xf>
    <xf numFmtId="0" fontId="1" fillId="0" borderId="33" xfId="0" applyFont="1" applyBorder="1"/>
    <xf numFmtId="0" fontId="1" fillId="0" borderId="20" xfId="0" applyFont="1" applyBorder="1"/>
    <xf numFmtId="0" fontId="1" fillId="0" borderId="34" xfId="0" applyFont="1" applyBorder="1"/>
    <xf numFmtId="0" fontId="39" fillId="0" borderId="0" xfId="0" applyFont="1"/>
    <xf numFmtId="0" fontId="4" fillId="3" borderId="0" xfId="0" applyFont="1" applyFill="1" applyAlignment="1">
      <alignment horizontal="center"/>
    </xf>
    <xf numFmtId="2" fontId="1" fillId="9" borderId="0" xfId="0" applyNumberFormat="1" applyFont="1" applyFill="1"/>
    <xf numFmtId="2" fontId="1" fillId="26" borderId="0" xfId="0" applyNumberFormat="1" applyFont="1" applyFill="1" applyAlignment="1">
      <alignment horizontal="center"/>
    </xf>
    <xf numFmtId="2" fontId="1" fillId="24" borderId="0" xfId="0" applyNumberFormat="1" applyFont="1" applyFill="1"/>
    <xf numFmtId="164" fontId="2" fillId="18" borderId="0" xfId="1" applyNumberFormat="1" applyFont="1" applyFill="1"/>
    <xf numFmtId="0" fontId="1" fillId="14" borderId="0" xfId="0" applyFont="1" applyFill="1" applyAlignment="1">
      <alignment horizontal="center"/>
    </xf>
    <xf numFmtId="0" fontId="31" fillId="0" borderId="0" xfId="0" applyFont="1"/>
    <xf numFmtId="0" fontId="40" fillId="0" borderId="0" xfId="0" applyFont="1" applyAlignment="1">
      <alignment horizontal="center"/>
    </xf>
    <xf numFmtId="177" fontId="1" fillId="3" borderId="0" xfId="0" applyNumberFormat="1" applyFont="1" applyFill="1" applyAlignment="1">
      <alignment horizontal="center"/>
    </xf>
    <xf numFmtId="177" fontId="4" fillId="3" borderId="0" xfId="0" applyNumberFormat="1" applyFont="1" applyFill="1" applyAlignment="1">
      <alignment horizontal="center"/>
    </xf>
    <xf numFmtId="177" fontId="1" fillId="0" borderId="0" xfId="0" applyNumberFormat="1" applyFont="1"/>
    <xf numFmtId="177" fontId="8" fillId="0" borderId="0" xfId="0" applyNumberFormat="1" applyFont="1"/>
    <xf numFmtId="0" fontId="41" fillId="0" borderId="0" xfId="0" applyFont="1" applyAlignment="1">
      <alignment horizontal="center"/>
    </xf>
    <xf numFmtId="178" fontId="1" fillId="0" borderId="0" xfId="0" applyNumberFormat="1" applyFont="1"/>
    <xf numFmtId="10" fontId="2" fillId="0" borderId="0" xfId="0" applyNumberFormat="1" applyFont="1"/>
    <xf numFmtId="178" fontId="1" fillId="26" borderId="0" xfId="0" applyNumberFormat="1" applyFont="1" applyFill="1" applyAlignment="1">
      <alignment horizontal="center"/>
    </xf>
    <xf numFmtId="2" fontId="1" fillId="27" borderId="0" xfId="0" applyNumberFormat="1" applyFont="1" applyFill="1" applyAlignment="1">
      <alignment horizontal="center"/>
    </xf>
    <xf numFmtId="2" fontId="1" fillId="27" borderId="0" xfId="0" applyNumberFormat="1" applyFont="1" applyFill="1" applyAlignment="1">
      <alignment horizontal="center" vertical="center"/>
    </xf>
    <xf numFmtId="2" fontId="2" fillId="2" borderId="0" xfId="0" applyNumberFormat="1" applyFont="1" applyFill="1" applyAlignment="1">
      <alignment horizontal="center" vertical="center"/>
    </xf>
    <xf numFmtId="10" fontId="2" fillId="10" borderId="0" xfId="0" applyNumberFormat="1" applyFont="1" applyFill="1"/>
    <xf numFmtId="0" fontId="17" fillId="0" borderId="34" xfId="0" applyFont="1" applyBorder="1" applyAlignment="1">
      <alignment horizontal="right" vertical="center"/>
    </xf>
    <xf numFmtId="10" fontId="17" fillId="0" borderId="34" xfId="0" applyNumberFormat="1" applyFont="1" applyBorder="1" applyAlignment="1">
      <alignment horizontal="right" vertical="center"/>
    </xf>
    <xf numFmtId="0" fontId="17" fillId="2" borderId="35" xfId="0" applyFont="1" applyFill="1" applyBorder="1" applyAlignment="1">
      <alignment horizontal="right" vertical="center"/>
    </xf>
    <xf numFmtId="9" fontId="17" fillId="2" borderId="36" xfId="0" applyNumberFormat="1" applyFont="1" applyFill="1" applyBorder="1" applyAlignment="1">
      <alignment horizontal="right" vertical="center"/>
    </xf>
    <xf numFmtId="0" fontId="17" fillId="2" borderId="37" xfId="0" applyFont="1" applyFill="1" applyBorder="1" applyAlignment="1">
      <alignment horizontal="right" vertical="center"/>
    </xf>
    <xf numFmtId="9" fontId="17" fillId="2" borderId="38" xfId="0" applyNumberFormat="1" applyFont="1" applyFill="1" applyBorder="1" applyAlignment="1">
      <alignment horizontal="right" vertical="center"/>
    </xf>
    <xf numFmtId="0" fontId="17" fillId="2" borderId="39" xfId="0" applyFont="1" applyFill="1" applyBorder="1" applyAlignment="1">
      <alignment horizontal="right" vertical="center"/>
    </xf>
    <xf numFmtId="9" fontId="17" fillId="2" borderId="40" xfId="0" applyNumberFormat="1" applyFont="1" applyFill="1" applyBorder="1" applyAlignment="1">
      <alignment horizontal="right" vertical="center"/>
    </xf>
    <xf numFmtId="0" fontId="17" fillId="3" borderId="35" xfId="0" applyFont="1" applyFill="1" applyBorder="1" applyAlignment="1">
      <alignment horizontal="right" vertical="center"/>
    </xf>
    <xf numFmtId="10" fontId="17" fillId="3" borderId="36" xfId="0" applyNumberFormat="1" applyFont="1" applyFill="1" applyBorder="1" applyAlignment="1">
      <alignment horizontal="right" vertical="center"/>
    </xf>
    <xf numFmtId="0" fontId="17" fillId="3" borderId="37" xfId="0" applyFont="1" applyFill="1" applyBorder="1" applyAlignment="1">
      <alignment horizontal="right" vertical="center"/>
    </xf>
    <xf numFmtId="10" fontId="17" fillId="3" borderId="38" xfId="0" applyNumberFormat="1" applyFont="1" applyFill="1" applyBorder="1" applyAlignment="1">
      <alignment horizontal="right" vertical="center"/>
    </xf>
    <xf numFmtId="0" fontId="17" fillId="3" borderId="39" xfId="0" applyFont="1" applyFill="1" applyBorder="1" applyAlignment="1">
      <alignment horizontal="right" vertical="center"/>
    </xf>
    <xf numFmtId="10" fontId="17" fillId="3" borderId="40" xfId="0" applyNumberFormat="1" applyFont="1" applyFill="1" applyBorder="1" applyAlignment="1">
      <alignment horizontal="right" vertical="center"/>
    </xf>
    <xf numFmtId="0" fontId="17" fillId="0" borderId="33" xfId="0" applyFont="1" applyBorder="1" applyAlignment="1">
      <alignment horizontal="right" vertical="center" readingOrder="2"/>
    </xf>
    <xf numFmtId="0" fontId="17" fillId="0" borderId="33" xfId="0" applyFont="1" applyBorder="1" applyAlignment="1">
      <alignment horizontal="right" vertical="center" wrapText="1" readingOrder="2"/>
    </xf>
    <xf numFmtId="2" fontId="2" fillId="18" borderId="0" xfId="0" applyNumberFormat="1" applyFont="1" applyFill="1" applyAlignment="1">
      <alignment horizontal="center"/>
    </xf>
    <xf numFmtId="4" fontId="2" fillId="0" borderId="0" xfId="0" applyNumberFormat="1" applyFont="1"/>
    <xf numFmtId="2" fontId="1" fillId="2" borderId="0" xfId="0" applyNumberFormat="1" applyFont="1" applyFill="1" applyAlignment="1">
      <alignment horizontal="center"/>
    </xf>
    <xf numFmtId="2" fontId="1" fillId="8" borderId="0" xfId="0" applyNumberFormat="1" applyFont="1" applyFill="1" applyAlignment="1">
      <alignment horizontal="center"/>
    </xf>
    <xf numFmtId="9" fontId="1" fillId="28" borderId="0" xfId="1" applyFont="1" applyFill="1" applyAlignment="1">
      <alignment horizontal="center"/>
    </xf>
    <xf numFmtId="9" fontId="2" fillId="0" borderId="7" xfId="0" applyNumberFormat="1" applyFont="1" applyBorder="1"/>
    <xf numFmtId="0" fontId="43" fillId="0" borderId="0" xfId="0" applyFont="1"/>
    <xf numFmtId="0" fontId="43" fillId="0" borderId="1" xfId="0" applyFont="1" applyBorder="1"/>
    <xf numFmtId="0" fontId="42" fillId="0" borderId="0" xfId="0" applyFont="1"/>
    <xf numFmtId="0" fontId="44" fillId="0" borderId="0" xfId="0" applyFont="1" applyAlignment="1">
      <alignment horizontal="center"/>
    </xf>
    <xf numFmtId="2" fontId="44" fillId="5" borderId="0" xfId="0" applyNumberFormat="1" applyFont="1" applyFill="1" applyAlignment="1">
      <alignment horizontal="center"/>
    </xf>
    <xf numFmtId="0" fontId="44" fillId="0" borderId="0" xfId="0" applyFont="1"/>
    <xf numFmtId="0" fontId="45" fillId="29" borderId="0" xfId="0" applyFont="1" applyFill="1" applyAlignment="1">
      <alignment horizontal="center"/>
    </xf>
    <xf numFmtId="0" fontId="44" fillId="6" borderId="0" xfId="0" applyFont="1" applyFill="1" applyAlignment="1">
      <alignment horizontal="center"/>
    </xf>
    <xf numFmtId="0" fontId="46" fillId="0" borderId="0" xfId="0" applyFont="1"/>
    <xf numFmtId="0" fontId="43" fillId="0" borderId="0" xfId="0" applyFont="1" applyAlignment="1">
      <alignment horizontal="right"/>
    </xf>
    <xf numFmtId="0" fontId="43" fillId="0" borderId="0" xfId="0" applyFont="1" applyAlignment="1">
      <alignment horizontal="center"/>
    </xf>
    <xf numFmtId="2" fontId="47" fillId="3" borderId="0" xfId="0" applyNumberFormat="1" applyFont="1" applyFill="1" applyAlignment="1">
      <alignment horizontal="center"/>
    </xf>
    <xf numFmtId="0" fontId="45" fillId="4" borderId="0" xfId="0" applyFont="1" applyFill="1"/>
    <xf numFmtId="0" fontId="45" fillId="0" borderId="0" xfId="0" applyFont="1" applyAlignment="1">
      <alignment horizontal="center"/>
    </xf>
    <xf numFmtId="2" fontId="44" fillId="7" borderId="13" xfId="0" applyNumberFormat="1" applyFont="1" applyFill="1" applyBorder="1" applyAlignment="1">
      <alignment horizontal="center"/>
    </xf>
    <xf numFmtId="2" fontId="44" fillId="0" borderId="0" xfId="0" applyNumberFormat="1" applyFont="1" applyAlignment="1">
      <alignment horizontal="center"/>
    </xf>
    <xf numFmtId="2" fontId="47" fillId="7" borderId="13" xfId="0" applyNumberFormat="1" applyFont="1" applyFill="1" applyBorder="1" applyAlignment="1">
      <alignment horizontal="center"/>
    </xf>
    <xf numFmtId="2" fontId="42" fillId="0" borderId="0" xfId="0" applyNumberFormat="1" applyFont="1"/>
    <xf numFmtId="0" fontId="45" fillId="0" borderId="0" xfId="0" applyFont="1"/>
    <xf numFmtId="0" fontId="44" fillId="0" borderId="1" xfId="0" applyFont="1" applyBorder="1" applyAlignment="1">
      <alignment horizontal="center"/>
    </xf>
    <xf numFmtId="2" fontId="44" fillId="3" borderId="0" xfId="0" applyNumberFormat="1" applyFont="1" applyFill="1" applyAlignment="1">
      <alignment horizontal="center"/>
    </xf>
    <xf numFmtId="0" fontId="43" fillId="3" borderId="0" xfId="0" applyFont="1" applyFill="1"/>
    <xf numFmtId="0" fontId="43" fillId="9" borderId="0" xfId="0" applyFont="1" applyFill="1"/>
    <xf numFmtId="0" fontId="1" fillId="9" borderId="0" xfId="0" applyFont="1" applyFill="1"/>
    <xf numFmtId="173" fontId="1" fillId="0" borderId="0" xfId="0" applyNumberFormat="1" applyFont="1"/>
    <xf numFmtId="0" fontId="1" fillId="4" borderId="0" xfId="0" applyFont="1" applyFill="1" applyAlignment="1">
      <alignment horizontal="center"/>
    </xf>
    <xf numFmtId="0" fontId="8" fillId="3" borderId="7" xfId="0" applyFont="1" applyFill="1" applyBorder="1"/>
    <xf numFmtId="0" fontId="5" fillId="3" borderId="8" xfId="0" applyFont="1" applyFill="1" applyBorder="1"/>
    <xf numFmtId="0" fontId="5" fillId="3" borderId="9" xfId="0" applyFont="1" applyFill="1" applyBorder="1"/>
    <xf numFmtId="164" fontId="34" fillId="0" borderId="0" xfId="1" applyNumberFormat="1" applyFont="1"/>
    <xf numFmtId="0" fontId="34" fillId="0" borderId="0" xfId="0" applyFont="1"/>
    <xf numFmtId="0" fontId="4" fillId="0" borderId="0" xfId="0" quotePrefix="1" applyFont="1"/>
    <xf numFmtId="0" fontId="50" fillId="0" borderId="10" xfId="0" applyFont="1" applyBorder="1"/>
    <xf numFmtId="0" fontId="8" fillId="0" borderId="11" xfId="0" applyFont="1" applyBorder="1"/>
    <xf numFmtId="9" fontId="5" fillId="0" borderId="0" xfId="0" applyNumberFormat="1" applyFont="1"/>
    <xf numFmtId="0" fontId="9" fillId="0" borderId="0" xfId="0" applyFont="1"/>
    <xf numFmtId="0" fontId="5" fillId="0" borderId="15" xfId="0" applyFont="1" applyBorder="1" applyAlignment="1">
      <alignment horizontal="center"/>
    </xf>
    <xf numFmtId="0" fontId="1" fillId="23" borderId="0" xfId="0" applyFont="1" applyFill="1"/>
    <xf numFmtId="0" fontId="52" fillId="0" borderId="0" xfId="0" applyFont="1"/>
    <xf numFmtId="0" fontId="53" fillId="0" borderId="0" xfId="0" applyFont="1"/>
    <xf numFmtId="0" fontId="8" fillId="0" borderId="2" xfId="0" applyFont="1" applyBorder="1"/>
    <xf numFmtId="0" fontId="8" fillId="0" borderId="7" xfId="0" applyFont="1" applyBorder="1"/>
    <xf numFmtId="14" fontId="8" fillId="0" borderId="9" xfId="0" applyNumberFormat="1" applyFont="1" applyBorder="1"/>
    <xf numFmtId="0" fontId="8" fillId="0" borderId="17" xfId="0" applyFont="1" applyBorder="1"/>
    <xf numFmtId="14" fontId="8" fillId="0" borderId="18" xfId="0" applyNumberFormat="1" applyFont="1" applyBorder="1"/>
    <xf numFmtId="0" fontId="8" fillId="0" borderId="10" xfId="0" applyFont="1" applyBorder="1"/>
    <xf numFmtId="14" fontId="8" fillId="0" borderId="12" xfId="0" applyNumberFormat="1" applyFont="1" applyBorder="1"/>
    <xf numFmtId="0" fontId="1" fillId="4" borderId="0" xfId="0" applyFont="1" applyFill="1"/>
    <xf numFmtId="0" fontId="3" fillId="30" borderId="0" xfId="0" applyFont="1" applyFill="1" applyAlignment="1">
      <alignment horizontal="center"/>
    </xf>
    <xf numFmtId="2" fontId="1" fillId="7" borderId="0" xfId="0" applyNumberFormat="1" applyFont="1" applyFill="1" applyAlignment="1">
      <alignment horizontal="center"/>
    </xf>
    <xf numFmtId="0" fontId="1" fillId="7" borderId="0" xfId="0" applyFont="1" applyFill="1"/>
    <xf numFmtId="0" fontId="2" fillId="0" borderId="1" xfId="0" applyFont="1" applyBorder="1" applyAlignment="1">
      <alignment horizontal="center"/>
    </xf>
    <xf numFmtId="0" fontId="1" fillId="4" borderId="0" xfId="0" applyFont="1" applyFill="1" applyAlignment="1">
      <alignment horizontal="center"/>
    </xf>
    <xf numFmtId="0" fontId="1" fillId="3" borderId="0" xfId="0" applyFont="1" applyFill="1" applyAlignment="1">
      <alignment horizontal="center" vertical="center"/>
    </xf>
    <xf numFmtId="1" fontId="1" fillId="2" borderId="0" xfId="0" applyNumberFormat="1" applyFont="1" applyFill="1" applyAlignment="1">
      <alignment horizontal="center" vertical="center"/>
    </xf>
    <xf numFmtId="0" fontId="1" fillId="0" borderId="0" xfId="0" applyFont="1" applyAlignment="1">
      <alignment horizontal="center"/>
    </xf>
    <xf numFmtId="164" fontId="4" fillId="3" borderId="0" xfId="1" applyNumberFormat="1" applyFont="1" applyFill="1" applyAlignment="1">
      <alignment horizontal="center" vertical="center"/>
    </xf>
    <xf numFmtId="164" fontId="1" fillId="3" borderId="0" xfId="1" applyNumberFormat="1" applyFont="1" applyFill="1" applyAlignment="1">
      <alignment horizontal="center" vertical="center"/>
    </xf>
    <xf numFmtId="0" fontId="9" fillId="0" borderId="0" xfId="0" applyFont="1" applyAlignment="1">
      <alignment horizontal="center" wrapText="1"/>
    </xf>
    <xf numFmtId="0" fontId="9" fillId="0" borderId="0" xfId="0" applyFont="1" applyAlignment="1">
      <alignment horizontal="center"/>
    </xf>
    <xf numFmtId="0" fontId="34" fillId="0" borderId="0" xfId="0" applyFont="1" applyAlignment="1">
      <alignment horizontal="right" wrapText="1"/>
    </xf>
    <xf numFmtId="0" fontId="2" fillId="0" borderId="0" xfId="0" applyFont="1" applyAlignment="1">
      <alignment horizontal="right"/>
    </xf>
    <xf numFmtId="2" fontId="1" fillId="0" borderId="0" xfId="0" applyNumberFormat="1" applyFont="1" applyAlignment="1">
      <alignment horizontal="center" vertical="center"/>
    </xf>
    <xf numFmtId="0" fontId="1" fillId="0" borderId="19" xfId="0" applyFont="1" applyBorder="1" applyAlignment="1">
      <alignment horizontal="center" vertical="center"/>
    </xf>
    <xf numFmtId="0" fontId="1" fillId="0" borderId="0" xfId="0" applyFont="1" applyAlignment="1">
      <alignment horizontal="center" vertical="center"/>
    </xf>
    <xf numFmtId="0" fontId="2" fillId="3" borderId="0" xfId="0" applyFont="1" applyFill="1" applyAlignment="1">
      <alignment horizontal="center" vertical="center"/>
    </xf>
    <xf numFmtId="10" fontId="1" fillId="0" borderId="0" xfId="1" applyNumberFormat="1" applyFont="1" applyAlignment="1">
      <alignment horizontal="center" vertical="center"/>
    </xf>
    <xf numFmtId="165" fontId="1" fillId="0" borderId="0" xfId="1" applyNumberFormat="1" applyFont="1" applyAlignment="1">
      <alignment horizontal="center" vertical="center"/>
    </xf>
    <xf numFmtId="10" fontId="1" fillId="3" borderId="0" xfId="1" applyNumberFormat="1" applyFont="1" applyFill="1" applyAlignment="1">
      <alignment horizontal="center" vertical="center"/>
    </xf>
    <xf numFmtId="3" fontId="4" fillId="0" borderId="19" xfId="0" applyNumberFormat="1" applyFont="1" applyBorder="1" applyAlignment="1">
      <alignment horizontal="center" vertical="center"/>
    </xf>
    <xf numFmtId="3" fontId="4" fillId="0" borderId="0" xfId="0" applyNumberFormat="1" applyFont="1" applyAlignment="1">
      <alignment horizontal="center" vertical="center"/>
    </xf>
    <xf numFmtId="0" fontId="2" fillId="3" borderId="0" xfId="0" applyFont="1" applyFill="1" applyAlignment="1">
      <alignment horizontal="center"/>
    </xf>
    <xf numFmtId="0" fontId="1" fillId="0" borderId="21" xfId="0" applyFont="1" applyBorder="1" applyAlignment="1">
      <alignment horizontal="right"/>
    </xf>
    <xf numFmtId="0" fontId="1" fillId="0" borderId="22" xfId="0" applyFont="1" applyBorder="1" applyAlignment="1">
      <alignment horizontal="right"/>
    </xf>
    <xf numFmtId="0" fontId="5" fillId="0" borderId="0" xfId="0" applyFont="1" applyAlignment="1">
      <alignment horizontal="center"/>
    </xf>
    <xf numFmtId="0" fontId="1" fillId="0" borderId="27" xfId="0" applyFont="1" applyBorder="1" applyAlignment="1">
      <alignment horizontal="center" wrapText="1"/>
    </xf>
    <xf numFmtId="0" fontId="1" fillId="0" borderId="19" xfId="0" applyFont="1" applyBorder="1" applyAlignment="1">
      <alignment horizontal="center"/>
    </xf>
    <xf numFmtId="0" fontId="1" fillId="0" borderId="28" xfId="0" applyFont="1" applyBorder="1" applyAlignment="1">
      <alignment horizontal="center"/>
    </xf>
    <xf numFmtId="0" fontId="1" fillId="0" borderId="29" xfId="0" applyFont="1" applyBorder="1" applyAlignment="1">
      <alignment horizontal="center"/>
    </xf>
    <xf numFmtId="0" fontId="1" fillId="0" borderId="30" xfId="0" applyFont="1" applyBorder="1" applyAlignment="1">
      <alignment horizontal="center"/>
    </xf>
    <xf numFmtId="0" fontId="1" fillId="0" borderId="31" xfId="0" applyFont="1" applyBorder="1" applyAlignment="1">
      <alignment horizontal="center"/>
    </xf>
    <xf numFmtId="0" fontId="1" fillId="0" borderId="1" xfId="0" applyFont="1" applyBorder="1" applyAlignment="1">
      <alignment horizontal="center"/>
    </xf>
    <xf numFmtId="0" fontId="1" fillId="0" borderId="32" xfId="0" applyFont="1" applyBorder="1" applyAlignment="1">
      <alignment horizontal="center"/>
    </xf>
    <xf numFmtId="0" fontId="1" fillId="0" borderId="21" xfId="0" applyFont="1" applyBorder="1" applyAlignment="1">
      <alignment horizontal="center"/>
    </xf>
    <xf numFmtId="0" fontId="1" fillId="0" borderId="26" xfId="0" applyFont="1" applyBorder="1" applyAlignment="1">
      <alignment horizontal="center"/>
    </xf>
    <xf numFmtId="0" fontId="1" fillId="0" borderId="22" xfId="0" applyFont="1" applyBorder="1" applyAlignment="1">
      <alignment horizontal="center"/>
    </xf>
    <xf numFmtId="0" fontId="1" fillId="0" borderId="6" xfId="0" applyFont="1" applyBorder="1" applyAlignment="1">
      <alignment horizontal="center" vertical="center" wrapText="1"/>
    </xf>
    <xf numFmtId="0" fontId="1" fillId="0" borderId="6" xfId="0" applyFont="1" applyBorder="1" applyAlignment="1">
      <alignment horizontal="center" vertical="center"/>
    </xf>
    <xf numFmtId="0" fontId="1" fillId="0" borderId="33" xfId="0" applyFont="1" applyBorder="1" applyAlignment="1">
      <alignment horizontal="center" vertical="center"/>
    </xf>
    <xf numFmtId="0" fontId="1" fillId="0" borderId="34" xfId="0" applyFont="1" applyBorder="1" applyAlignment="1">
      <alignment horizontal="center" vertical="center"/>
    </xf>
    <xf numFmtId="165" fontId="1" fillId="0" borderId="0" xfId="1" applyNumberFormat="1" applyFont="1" applyBorder="1" applyAlignment="1">
      <alignment horizontal="center" vertical="center"/>
    </xf>
    <xf numFmtId="165" fontId="1" fillId="0" borderId="11" xfId="1" applyNumberFormat="1" applyFont="1" applyBorder="1" applyAlignment="1">
      <alignment horizontal="center" vertical="center"/>
    </xf>
    <xf numFmtId="0" fontId="1" fillId="14" borderId="0" xfId="0" applyFont="1" applyFill="1" applyAlignment="1">
      <alignment horizontal="center"/>
    </xf>
    <xf numFmtId="0" fontId="1" fillId="0" borderId="0" xfId="0" applyFont="1" applyBorder="1"/>
    <xf numFmtId="9" fontId="1" fillId="0" borderId="6" xfId="0" applyNumberFormat="1" applyFont="1" applyBorder="1" applyAlignment="1">
      <alignment horizontal="center"/>
    </xf>
    <xf numFmtId="9" fontId="1" fillId="0" borderId="0" xfId="0" applyNumberFormat="1" applyFont="1" applyBorder="1" applyAlignment="1">
      <alignment horizontal="center"/>
    </xf>
    <xf numFmtId="9" fontId="1" fillId="0" borderId="0" xfId="0" applyNumberFormat="1" applyFont="1" applyBorder="1" applyAlignment="1">
      <alignment horizontal="right"/>
    </xf>
    <xf numFmtId="165" fontId="2" fillId="3" borderId="0" xfId="1" applyNumberFormat="1" applyFont="1" applyFill="1"/>
    <xf numFmtId="0" fontId="2" fillId="0" borderId="0" xfId="0" applyFont="1" applyFill="1" applyBorder="1"/>
    <xf numFmtId="2" fontId="2" fillId="0" borderId="0" xfId="0" applyNumberFormat="1" applyFont="1" applyFill="1" applyBorder="1"/>
    <xf numFmtId="0" fontId="8" fillId="0" borderId="6" xfId="0" applyFont="1" applyBorder="1"/>
    <xf numFmtId="0" fontId="1" fillId="24" borderId="0" xfId="0" applyFont="1" applyFill="1"/>
    <xf numFmtId="166" fontId="4" fillId="0" borderId="0" xfId="0" applyNumberFormat="1" applyFont="1"/>
    <xf numFmtId="0" fontId="20" fillId="0" borderId="2" xfId="0" applyFont="1" applyBorder="1"/>
    <xf numFmtId="0" fontId="20" fillId="0" borderId="3" xfId="0" applyFont="1" applyBorder="1"/>
    <xf numFmtId="2" fontId="54" fillId="3" borderId="3" xfId="0" applyNumberFormat="1" applyFont="1" applyFill="1" applyBorder="1" applyAlignment="1">
      <alignment horizontal="center"/>
    </xf>
    <xf numFmtId="0" fontId="20" fillId="0" borderId="4" xfId="0" applyFont="1" applyBorder="1"/>
    <xf numFmtId="164" fontId="1" fillId="0" borderId="0" xfId="1" applyNumberFormat="1" applyFont="1" applyAlignment="1">
      <alignment horizontal="center" vertical="center"/>
    </xf>
    <xf numFmtId="0" fontId="3" fillId="17" borderId="0" xfId="0" applyFont="1" applyFill="1"/>
    <xf numFmtId="2" fontId="38" fillId="3" borderId="0" xfId="0" applyNumberFormat="1" applyFont="1" applyFill="1"/>
    <xf numFmtId="0" fontId="32" fillId="0" borderId="7" xfId="0" applyFont="1" applyBorder="1"/>
    <xf numFmtId="0" fontId="32" fillId="0" borderId="8" xfId="0" applyFont="1" applyBorder="1"/>
    <xf numFmtId="0" fontId="32" fillId="0" borderId="9" xfId="0" applyFont="1" applyBorder="1"/>
    <xf numFmtId="0" fontId="32" fillId="0" borderId="17" xfId="0" applyFont="1" applyBorder="1"/>
    <xf numFmtId="0" fontId="32" fillId="0" borderId="0" xfId="0" applyFont="1" applyBorder="1"/>
    <xf numFmtId="0" fontId="32" fillId="0" borderId="18" xfId="0" applyFont="1" applyBorder="1"/>
    <xf numFmtId="0" fontId="32" fillId="0" borderId="10" xfId="0" applyFont="1" applyBorder="1"/>
    <xf numFmtId="0" fontId="32" fillId="0" borderId="11" xfId="0" applyFont="1" applyBorder="1"/>
    <xf numFmtId="0" fontId="32" fillId="0" borderId="12" xfId="0" applyFont="1" applyBorder="1"/>
  </cellXfs>
  <cellStyles count="2">
    <cellStyle name="Normal" xfId="0" builtinId="0"/>
    <cellStyle name="Percent" xfId="1" builtinId="5"/>
  </cellStyles>
  <dxfs count="0"/>
  <tableStyles count="0" defaultTableStyle="TableStyleMedium2" defaultPivotStyle="PivotStyleLight16"/>
  <colors>
    <mruColors>
      <color rgb="FFD883FF"/>
      <color rgb="FF00FD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18" Type="http://schemas.openxmlformats.org/officeDocument/2006/relationships/image" Target="../media/image55.png"/><Relationship Id="rId3" Type="http://schemas.openxmlformats.org/officeDocument/2006/relationships/image" Target="../media/image40.png"/><Relationship Id="rId21" Type="http://schemas.openxmlformats.org/officeDocument/2006/relationships/image" Target="../media/image58.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20" Type="http://schemas.openxmlformats.org/officeDocument/2006/relationships/image" Target="../media/image57.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19" Type="http://schemas.openxmlformats.org/officeDocument/2006/relationships/image" Target="../media/image56.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5" Type="http://schemas.openxmlformats.org/officeDocument/2006/relationships/image" Target="../media/image63.png"/><Relationship Id="rId4" Type="http://schemas.openxmlformats.org/officeDocument/2006/relationships/image" Target="../media/image62.png"/><Relationship Id="rId9"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8.png"/></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8.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5" Type="http://schemas.openxmlformats.org/officeDocument/2006/relationships/image" Target="../media/image21.png"/><Relationship Id="rId4" Type="http://schemas.openxmlformats.org/officeDocument/2006/relationships/image" Target="../media/image20.png"/></Relationships>
</file>

<file path=xl/drawings/_rels/drawing9.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34.png"/><Relationship Id="rId3" Type="http://schemas.openxmlformats.org/officeDocument/2006/relationships/image" Target="../media/image24.png"/><Relationship Id="rId7" Type="http://schemas.openxmlformats.org/officeDocument/2006/relationships/image" Target="../media/image28.png"/><Relationship Id="rId12" Type="http://schemas.openxmlformats.org/officeDocument/2006/relationships/image" Target="../media/image33.png"/><Relationship Id="rId2" Type="http://schemas.openxmlformats.org/officeDocument/2006/relationships/image" Target="../media/image23.png"/><Relationship Id="rId16" Type="http://schemas.openxmlformats.org/officeDocument/2006/relationships/image" Target="../media/image37.png"/><Relationship Id="rId1" Type="http://schemas.openxmlformats.org/officeDocument/2006/relationships/image" Target="../media/image22.png"/><Relationship Id="rId6" Type="http://schemas.openxmlformats.org/officeDocument/2006/relationships/image" Target="../media/image27.png"/><Relationship Id="rId11" Type="http://schemas.openxmlformats.org/officeDocument/2006/relationships/image" Target="../media/image32.png"/><Relationship Id="rId5" Type="http://schemas.openxmlformats.org/officeDocument/2006/relationships/image" Target="../media/image26.png"/><Relationship Id="rId15" Type="http://schemas.openxmlformats.org/officeDocument/2006/relationships/image" Target="../media/image36.png"/><Relationship Id="rId10" Type="http://schemas.openxmlformats.org/officeDocument/2006/relationships/image" Target="../media/image31.png"/><Relationship Id="rId4" Type="http://schemas.openxmlformats.org/officeDocument/2006/relationships/image" Target="../media/image25.png"/><Relationship Id="rId9" Type="http://schemas.openxmlformats.org/officeDocument/2006/relationships/image" Target="../media/image30.png"/><Relationship Id="rId14"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xdr:from>
      <xdr:col>3</xdr:col>
      <xdr:colOff>330372</xdr:colOff>
      <xdr:row>181</xdr:row>
      <xdr:rowOff>42905</xdr:rowOff>
    </xdr:from>
    <xdr:to>
      <xdr:col>3</xdr:col>
      <xdr:colOff>454798</xdr:colOff>
      <xdr:row>182</xdr:row>
      <xdr:rowOff>102973</xdr:rowOff>
    </xdr:to>
    <xdr:sp macro="" textlink="">
      <xdr:nvSpPr>
        <xdr:cNvPr id="2" name="Down Arrow 1">
          <a:extLst>
            <a:ext uri="{FF2B5EF4-FFF2-40B4-BE49-F238E27FC236}">
              <a16:creationId xmlns:a16="http://schemas.microsoft.com/office/drawing/2014/main" id="{33C7C415-CA32-4EF2-A964-48282AAD885E}"/>
            </a:ext>
          </a:extLst>
        </xdr:cNvPr>
        <xdr:cNvSpPr/>
      </xdr:nvSpPr>
      <xdr:spPr>
        <a:xfrm>
          <a:off x="13493947365" y="30570101"/>
          <a:ext cx="124426" cy="26172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347534</xdr:colOff>
      <xdr:row>181</xdr:row>
      <xdr:rowOff>68648</xdr:rowOff>
    </xdr:from>
    <xdr:to>
      <xdr:col>2</xdr:col>
      <xdr:colOff>471959</xdr:colOff>
      <xdr:row>187</xdr:row>
      <xdr:rowOff>55777</xdr:rowOff>
    </xdr:to>
    <xdr:sp macro="" textlink="">
      <xdr:nvSpPr>
        <xdr:cNvPr id="3" name="Down Arrow 2">
          <a:extLst>
            <a:ext uri="{FF2B5EF4-FFF2-40B4-BE49-F238E27FC236}">
              <a16:creationId xmlns:a16="http://schemas.microsoft.com/office/drawing/2014/main" id="{B38E5F6D-B48B-744C-FAE1-449EA9680360}"/>
            </a:ext>
          </a:extLst>
        </xdr:cNvPr>
        <xdr:cNvSpPr/>
      </xdr:nvSpPr>
      <xdr:spPr>
        <a:xfrm>
          <a:off x="13494753987" y="30595844"/>
          <a:ext cx="124425" cy="119706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314134</xdr:colOff>
      <xdr:row>191</xdr:row>
      <xdr:rowOff>8975</xdr:rowOff>
    </xdr:from>
    <xdr:to>
      <xdr:col>2</xdr:col>
      <xdr:colOff>467471</xdr:colOff>
      <xdr:row>193</xdr:row>
      <xdr:rowOff>19876</xdr:rowOff>
    </xdr:to>
    <xdr:sp macro="" textlink="">
      <xdr:nvSpPr>
        <xdr:cNvPr id="4" name="Down Arrow 3">
          <a:extLst>
            <a:ext uri="{FF2B5EF4-FFF2-40B4-BE49-F238E27FC236}">
              <a16:creationId xmlns:a16="http://schemas.microsoft.com/office/drawing/2014/main" id="{2A355CD3-4F12-2DAC-D73F-90C02BBD51AC}"/>
            </a:ext>
          </a:extLst>
        </xdr:cNvPr>
        <xdr:cNvSpPr/>
      </xdr:nvSpPr>
      <xdr:spPr>
        <a:xfrm>
          <a:off x="13526549349" y="32602650"/>
          <a:ext cx="153337" cy="41478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358775</xdr:colOff>
      <xdr:row>181</xdr:row>
      <xdr:rowOff>43249</xdr:rowOff>
    </xdr:from>
    <xdr:to>
      <xdr:col>1</xdr:col>
      <xdr:colOff>462434</xdr:colOff>
      <xdr:row>182</xdr:row>
      <xdr:rowOff>184151</xdr:rowOff>
    </xdr:to>
    <xdr:sp macro="" textlink="">
      <xdr:nvSpPr>
        <xdr:cNvPr id="6" name="Down Arrow 5">
          <a:extLst>
            <a:ext uri="{FF2B5EF4-FFF2-40B4-BE49-F238E27FC236}">
              <a16:creationId xmlns:a16="http://schemas.microsoft.com/office/drawing/2014/main" id="{0C5E0226-8372-B187-8D5F-8BF043A360F1}"/>
            </a:ext>
          </a:extLst>
        </xdr:cNvPr>
        <xdr:cNvSpPr/>
      </xdr:nvSpPr>
      <xdr:spPr>
        <a:xfrm>
          <a:off x="13523704066" y="30802649"/>
          <a:ext cx="103659" cy="344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693057</xdr:colOff>
      <xdr:row>287</xdr:row>
      <xdr:rowOff>166914</xdr:rowOff>
    </xdr:from>
    <xdr:to>
      <xdr:col>3</xdr:col>
      <xdr:colOff>707571</xdr:colOff>
      <xdr:row>291</xdr:row>
      <xdr:rowOff>199571</xdr:rowOff>
    </xdr:to>
    <xdr:cxnSp macro="">
      <xdr:nvCxnSpPr>
        <xdr:cNvPr id="8" name="Straight Arrow Connector 7">
          <a:extLst>
            <a:ext uri="{FF2B5EF4-FFF2-40B4-BE49-F238E27FC236}">
              <a16:creationId xmlns:a16="http://schemas.microsoft.com/office/drawing/2014/main" id="{EBD28CA6-7958-F0AB-9D26-DE51E81CBB7F}"/>
            </a:ext>
          </a:extLst>
        </xdr:cNvPr>
        <xdr:cNvCxnSpPr/>
      </xdr:nvCxnSpPr>
      <xdr:spPr>
        <a:xfrm>
          <a:off x="13551527743" y="41097200"/>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707571</xdr:colOff>
      <xdr:row>287</xdr:row>
      <xdr:rowOff>156029</xdr:rowOff>
    </xdr:from>
    <xdr:to>
      <xdr:col>1</xdr:col>
      <xdr:colOff>722085</xdr:colOff>
      <xdr:row>291</xdr:row>
      <xdr:rowOff>188686</xdr:rowOff>
    </xdr:to>
    <xdr:cxnSp macro="">
      <xdr:nvCxnSpPr>
        <xdr:cNvPr id="9" name="Straight Arrow Connector 8">
          <a:extLst>
            <a:ext uri="{FF2B5EF4-FFF2-40B4-BE49-F238E27FC236}">
              <a16:creationId xmlns:a16="http://schemas.microsoft.com/office/drawing/2014/main" id="{5D9AF839-0D45-AA4F-7220-6DA298FF11C8}"/>
            </a:ext>
          </a:extLst>
        </xdr:cNvPr>
        <xdr:cNvCxnSpPr/>
      </xdr:nvCxnSpPr>
      <xdr:spPr>
        <a:xfrm>
          <a:off x="13553167858" y="41086315"/>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686387</xdr:colOff>
      <xdr:row>406</xdr:row>
      <xdr:rowOff>132138</xdr:rowOff>
    </xdr:from>
    <xdr:to>
      <xdr:col>5</xdr:col>
      <xdr:colOff>84422</xdr:colOff>
      <xdr:row>408</xdr:row>
      <xdr:rowOff>36705</xdr:rowOff>
    </xdr:to>
    <xdr:cxnSp macro="">
      <xdr:nvCxnSpPr>
        <xdr:cNvPr id="7" name="Straight Arrow Connector 6">
          <a:extLst>
            <a:ext uri="{FF2B5EF4-FFF2-40B4-BE49-F238E27FC236}">
              <a16:creationId xmlns:a16="http://schemas.microsoft.com/office/drawing/2014/main" id="{A8764731-04BA-EDEE-035B-F3D0AE15BCA4}"/>
            </a:ext>
          </a:extLst>
        </xdr:cNvPr>
        <xdr:cNvCxnSpPr/>
      </xdr:nvCxnSpPr>
      <xdr:spPr>
        <a:xfrm>
          <a:off x="13526854422" y="53574913"/>
          <a:ext cx="223902" cy="3083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661042</xdr:colOff>
      <xdr:row>317</xdr:row>
      <xdr:rowOff>49599</xdr:rowOff>
    </xdr:from>
    <xdr:ext cx="1988965" cy="31579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𝑃𝑉_𝐼𝑛𝑓𝑖𝑛𝑖𝑡𝑒=𝑃𝑀𝑇/𝑟</a:t>
              </a:r>
              <a:endParaRPr lang="en-US" sz="1100"/>
            </a:p>
          </xdr:txBody>
        </xdr:sp>
      </mc:Fallback>
    </mc:AlternateContent>
    <xdr:clientData/>
  </xdr:oneCellAnchor>
  <xdr:oneCellAnchor>
    <xdr:from>
      <xdr:col>4</xdr:col>
      <xdr:colOff>693093</xdr:colOff>
      <xdr:row>323</xdr:row>
      <xdr:rowOff>177801</xdr:rowOff>
    </xdr:from>
    <xdr:ext cx="1988965" cy="324641"/>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70,000</m:t>
                        </m:r>
                      </m:num>
                      <m:den>
                        <m:r>
                          <a:rPr lang="he-IL" sz="1100" b="0" i="1">
                            <a:latin typeface="Cambria Math" panose="02040503050406030204" pitchFamily="18" charset="0"/>
                          </a:rPr>
                          <m:t>7%</m:t>
                        </m:r>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a:t>
              </a:r>
              <a:r>
                <a:rPr lang="he-IL" sz="1100" b="0" i="0">
                  <a:latin typeface="Cambria Math" panose="02040503050406030204" pitchFamily="18" charset="0"/>
                </a:rPr>
                <a:t>70,000</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4</xdr:col>
      <xdr:colOff>703355</xdr:colOff>
      <xdr:row>358</xdr:row>
      <xdr:rowOff>130433</xdr:rowOff>
    </xdr:from>
    <xdr:to>
      <xdr:col>5</xdr:col>
      <xdr:colOff>108320</xdr:colOff>
      <xdr:row>360</xdr:row>
      <xdr:rowOff>50504</xdr:rowOff>
    </xdr:to>
    <xdr:cxnSp macro="">
      <xdr:nvCxnSpPr>
        <xdr:cNvPr id="14" name="Straight Arrow Connector 13">
          <a:extLst>
            <a:ext uri="{FF2B5EF4-FFF2-40B4-BE49-F238E27FC236}">
              <a16:creationId xmlns:a16="http://schemas.microsoft.com/office/drawing/2014/main" id="{9FF3CC1B-11A4-6973-8018-A5EFAD267D1F}"/>
            </a:ext>
          </a:extLst>
        </xdr:cNvPr>
        <xdr:cNvCxnSpPr/>
      </xdr:nvCxnSpPr>
      <xdr:spPr>
        <a:xfrm>
          <a:off x="13520819680" y="73193533"/>
          <a:ext cx="293965" cy="32647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501783</xdr:colOff>
      <xdr:row>365</xdr:row>
      <xdr:rowOff>4618</xdr:rowOff>
    </xdr:from>
    <xdr:ext cx="2231270" cy="18280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𝑅𝑒𝑔𝑢𝑙𝑎𝑟</m:t>
                        </m:r>
                      </m:sub>
                    </m:sSub>
                  </m:oMath>
                </m:oMathPara>
              </a14:m>
              <a:endParaRPr lang="en-US" sz="1100"/>
            </a:p>
          </xdr:txBody>
        </xdr:sp>
      </mc:Choice>
      <mc:Fallback xmlns="">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𝑃𝑉=𝑃𝑉_𝐼𝑛𝑓𝑖𝑛𝑖𝑡𝑒+𝑃𝑉_𝑅𝑒𝑔𝑢𝑙𝑎𝑟</a:t>
              </a:r>
              <a:endParaRPr lang="en-US" sz="1100"/>
            </a:p>
          </xdr:txBody>
        </xdr:sp>
      </mc:Fallback>
    </mc:AlternateContent>
    <xdr:clientData/>
  </xdr:oneCellAnchor>
  <xdr:oneCellAnchor>
    <xdr:from>
      <xdr:col>2</xdr:col>
      <xdr:colOff>301958</xdr:colOff>
      <xdr:row>366</xdr:row>
      <xdr:rowOff>146716</xdr:rowOff>
    </xdr:from>
    <xdr:ext cx="5117634" cy="48667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90,000</m:t>
                            </m:r>
                          </m:num>
                          <m:den>
                            <m:r>
                              <a:rPr lang="en-US" sz="1100" b="0" i="1">
                                <a:latin typeface="Cambria Math" panose="02040503050406030204" pitchFamily="18" charset="0"/>
                              </a:rPr>
                              <m:t>7%</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r>
                      <a:rPr lang="en-US" sz="1100" b="0" i="1">
                        <a:latin typeface="Cambria Math" panose="02040503050406030204" pitchFamily="18" charset="0"/>
                      </a:rPr>
                      <m:t>+70,000∗</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num>
                      <m:den>
                        <m:r>
                          <a:rPr lang="en-US" sz="1100" b="0" i="1">
                            <a:latin typeface="Cambria Math" panose="02040503050406030204" pitchFamily="18" charset="0"/>
                          </a:rPr>
                          <m:t>7%</m:t>
                        </m:r>
                      </m:den>
                    </m:f>
                    <m:r>
                      <a:rPr lang="en-US" sz="1100" b="0" i="0">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𝑃𝑉=(90,000/(7%))/(1+7%)^10 +70,000∗(1−1/(1+7%)^10 )/(7%)=</a:t>
              </a:r>
              <a:endParaRPr lang="en-US" sz="1100"/>
            </a:p>
          </xdr:txBody>
        </xdr:sp>
      </mc:Fallback>
    </mc:AlternateContent>
    <xdr:clientData/>
  </xdr:oneCellAnchor>
  <xdr:twoCellAnchor>
    <xdr:from>
      <xdr:col>6</xdr:col>
      <xdr:colOff>284196</xdr:colOff>
      <xdr:row>369</xdr:row>
      <xdr:rowOff>31083</xdr:rowOff>
    </xdr:from>
    <xdr:to>
      <xdr:col>6</xdr:col>
      <xdr:colOff>288636</xdr:colOff>
      <xdr:row>371</xdr:row>
      <xdr:rowOff>57727</xdr:rowOff>
    </xdr:to>
    <xdr:cxnSp macro="">
      <xdr:nvCxnSpPr>
        <xdr:cNvPr id="18" name="Straight Arrow Connector 17">
          <a:extLst>
            <a:ext uri="{FF2B5EF4-FFF2-40B4-BE49-F238E27FC236}">
              <a16:creationId xmlns:a16="http://schemas.microsoft.com/office/drawing/2014/main" id="{8B06FADA-8805-67A0-87B0-AF9CD19E06F6}"/>
            </a:ext>
          </a:extLst>
        </xdr:cNvPr>
        <xdr:cNvCxnSpPr/>
      </xdr:nvCxnSpPr>
      <xdr:spPr>
        <a:xfrm>
          <a:off x="13527023112" y="57971503"/>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408532</xdr:colOff>
      <xdr:row>369</xdr:row>
      <xdr:rowOff>53286</xdr:rowOff>
    </xdr:from>
    <xdr:to>
      <xdr:col>4</xdr:col>
      <xdr:colOff>412972</xdr:colOff>
      <xdr:row>371</xdr:row>
      <xdr:rowOff>79930</xdr:rowOff>
    </xdr:to>
    <xdr:cxnSp macro="">
      <xdr:nvCxnSpPr>
        <xdr:cNvPr id="20" name="Straight Arrow Connector 19">
          <a:extLst>
            <a:ext uri="{FF2B5EF4-FFF2-40B4-BE49-F238E27FC236}">
              <a16:creationId xmlns:a16="http://schemas.microsoft.com/office/drawing/2014/main" id="{0DAB6E67-64EC-D6A0-861E-A5626B6B645E}"/>
            </a:ext>
          </a:extLst>
        </xdr:cNvPr>
        <xdr:cNvCxnSpPr/>
      </xdr:nvCxnSpPr>
      <xdr:spPr>
        <a:xfrm>
          <a:off x="13528586189" y="57993706"/>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390770</xdr:colOff>
      <xdr:row>368</xdr:row>
      <xdr:rowOff>204265</xdr:rowOff>
    </xdr:from>
    <xdr:to>
      <xdr:col>2</xdr:col>
      <xdr:colOff>395210</xdr:colOff>
      <xdr:row>371</xdr:row>
      <xdr:rowOff>26643</xdr:rowOff>
    </xdr:to>
    <xdr:cxnSp macro="">
      <xdr:nvCxnSpPr>
        <xdr:cNvPr id="21" name="Straight Arrow Connector 20">
          <a:extLst>
            <a:ext uri="{FF2B5EF4-FFF2-40B4-BE49-F238E27FC236}">
              <a16:creationId xmlns:a16="http://schemas.microsoft.com/office/drawing/2014/main" id="{6FCC3074-27C5-BADF-6B0F-827C985EB5C1}"/>
            </a:ext>
          </a:extLst>
        </xdr:cNvPr>
        <xdr:cNvCxnSpPr/>
      </xdr:nvCxnSpPr>
      <xdr:spPr>
        <a:xfrm>
          <a:off x="13530255839" y="57940419"/>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648322</xdr:colOff>
      <xdr:row>346</xdr:row>
      <xdr:rowOff>164300</xdr:rowOff>
    </xdr:from>
    <xdr:to>
      <xdr:col>14</xdr:col>
      <xdr:colOff>53287</xdr:colOff>
      <xdr:row>348</xdr:row>
      <xdr:rowOff>84371</xdr:rowOff>
    </xdr:to>
    <xdr:cxnSp macro="">
      <xdr:nvCxnSpPr>
        <xdr:cNvPr id="5" name="Straight Arrow Connector 4">
          <a:extLst>
            <a:ext uri="{FF2B5EF4-FFF2-40B4-BE49-F238E27FC236}">
              <a16:creationId xmlns:a16="http://schemas.microsoft.com/office/drawing/2014/main" id="{AB049189-C190-424A-A040-3E1AD54A46C3}"/>
            </a:ext>
          </a:extLst>
        </xdr:cNvPr>
        <xdr:cNvCxnSpPr/>
      </xdr:nvCxnSpPr>
      <xdr:spPr>
        <a:xfrm>
          <a:off x="13504514985" y="56296970"/>
          <a:ext cx="229468" cy="3323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784608</xdr:colOff>
      <xdr:row>352</xdr:row>
      <xdr:rowOff>19948</xdr:rowOff>
    </xdr:from>
    <xdr:ext cx="5117634" cy="48667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he-IL" sz="1100" b="0" i="1">
                                <a:latin typeface="Cambria Math" panose="02040503050406030204" pitchFamily="18" charset="0"/>
                              </a:rPr>
                              <m:t>23,000</m:t>
                            </m:r>
                          </m:num>
                          <m:den>
                            <m:r>
                              <a:rPr lang="he-IL" sz="1100" b="0" i="1">
                                <a:latin typeface="Cambria Math" panose="02040503050406030204" pitchFamily="18" charset="0"/>
                              </a:rPr>
                              <m:t>8</m:t>
                            </m:r>
                            <m:r>
                              <a:rPr lang="en-US" sz="1100" b="0" i="1">
                                <a:latin typeface="Cambria Math" panose="02040503050406030204" pitchFamily="18" charset="0"/>
                              </a:rPr>
                              <m:t>%</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r>
                      <a:rPr lang="en-US" sz="1100" b="0" i="1">
                        <a:latin typeface="Cambria Math" panose="02040503050406030204" pitchFamily="18" charset="0"/>
                      </a:rPr>
                      <m:t>+</m:t>
                    </m:r>
                    <m:r>
                      <a:rPr lang="he-IL" sz="1100" b="0" i="1">
                        <a:latin typeface="Cambria Math" panose="02040503050406030204" pitchFamily="18" charset="0"/>
                      </a:rPr>
                      <m:t>32,000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num>
                      <m:den>
                        <m:r>
                          <a:rPr lang="he-IL" sz="1100" b="0" i="1">
                            <a:latin typeface="Cambria Math" panose="02040503050406030204" pitchFamily="18" charset="0"/>
                          </a:rPr>
                          <m:t>8</m:t>
                        </m:r>
                        <m:r>
                          <a:rPr lang="en-US" sz="1100" b="0" i="1">
                            <a:latin typeface="Cambria Math" panose="02040503050406030204" pitchFamily="18" charset="0"/>
                          </a:rPr>
                          <m:t>%</m:t>
                        </m:r>
                      </m:den>
                    </m:f>
                    <m:r>
                      <a:rPr lang="en-US" sz="1100" b="0" i="0">
                        <a:latin typeface="Cambria Math" panose="02040503050406030204" pitchFamily="18" charset="0"/>
                      </a:rPr>
                      <m:t>=364,535</m:t>
                    </m:r>
                  </m:oMath>
                </m:oMathPara>
              </a14:m>
              <a:endParaRPr lang="en-US" sz="1100"/>
            </a:p>
          </xdr:txBody>
        </xdr:sp>
      </mc:Choice>
      <mc:Fallback xmlns="">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23,000</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32,000</a:t>
              </a:r>
              <a:r>
                <a:rPr lang="en-US" sz="1100" b="0" i="0">
                  <a:latin typeface="Cambria Math" panose="02040503050406030204" pitchFamily="18" charset="0"/>
                </a:rPr>
                <a:t>∗(1−1/(1+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8</a:t>
              </a:r>
              <a:r>
                <a:rPr lang="en-US" sz="1100" b="0" i="0">
                  <a:latin typeface="Cambria Math" panose="02040503050406030204" pitchFamily="18" charset="0"/>
                </a:rPr>
                <a:t>%)=364,535</a:t>
              </a:r>
              <a:endParaRPr lang="en-US" sz="1100"/>
            </a:p>
          </xdr:txBody>
        </xdr:sp>
      </mc:Fallback>
    </mc:AlternateContent>
    <xdr:clientData/>
  </xdr:oneCellAnchor>
  <xdr:twoCellAnchor>
    <xdr:from>
      <xdr:col>0</xdr:col>
      <xdr:colOff>725237</xdr:colOff>
      <xdr:row>218</xdr:row>
      <xdr:rowOff>80211</xdr:rowOff>
    </xdr:from>
    <xdr:to>
      <xdr:col>7</xdr:col>
      <xdr:colOff>407737</xdr:colOff>
      <xdr:row>218</xdr:row>
      <xdr:rowOff>90237</xdr:rowOff>
    </xdr:to>
    <xdr:cxnSp macro="">
      <xdr:nvCxnSpPr>
        <xdr:cNvPr id="23" name="Straight Arrow Connector 22">
          <a:extLst>
            <a:ext uri="{FF2B5EF4-FFF2-40B4-BE49-F238E27FC236}">
              <a16:creationId xmlns:a16="http://schemas.microsoft.com/office/drawing/2014/main" id="{3BF35258-4FEB-AC2E-6539-1650F7EB2E29}"/>
            </a:ext>
          </a:extLst>
        </xdr:cNvPr>
        <xdr:cNvCxnSpPr/>
      </xdr:nvCxnSpPr>
      <xdr:spPr>
        <a:xfrm>
          <a:off x="13518832500" y="44319658"/>
          <a:ext cx="5524500" cy="1002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387682</xdr:colOff>
      <xdr:row>218</xdr:row>
      <xdr:rowOff>25065</xdr:rowOff>
    </xdr:from>
    <xdr:to>
      <xdr:col>3</xdr:col>
      <xdr:colOff>412749</xdr:colOff>
      <xdr:row>219</xdr:row>
      <xdr:rowOff>100262</xdr:rowOff>
    </xdr:to>
    <xdr:sp macro="" textlink="">
      <xdr:nvSpPr>
        <xdr:cNvPr id="24" name="Left Brace 23">
          <a:extLst>
            <a:ext uri="{FF2B5EF4-FFF2-40B4-BE49-F238E27FC236}">
              <a16:creationId xmlns:a16="http://schemas.microsoft.com/office/drawing/2014/main" id="{E47B2E71-F6D3-324E-34E9-19744B7B16A9}"/>
            </a:ext>
          </a:extLst>
        </xdr:cNvPr>
        <xdr:cNvSpPr/>
      </xdr:nvSpPr>
      <xdr:spPr>
        <a:xfrm rot="16200000">
          <a:off x="13522864752" y="43769880"/>
          <a:ext cx="279065" cy="1676067"/>
        </a:xfrm>
        <a:prstGeom prst="leftBrace">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324184</xdr:colOff>
      <xdr:row>223</xdr:row>
      <xdr:rowOff>53474</xdr:rowOff>
    </xdr:from>
    <xdr:to>
      <xdr:col>2</xdr:col>
      <xdr:colOff>327526</xdr:colOff>
      <xdr:row>225</xdr:row>
      <xdr:rowOff>3342</xdr:rowOff>
    </xdr:to>
    <xdr:cxnSp macro="">
      <xdr:nvCxnSpPr>
        <xdr:cNvPr id="26" name="Straight Connector 25">
          <a:extLst>
            <a:ext uri="{FF2B5EF4-FFF2-40B4-BE49-F238E27FC236}">
              <a16:creationId xmlns:a16="http://schemas.microsoft.com/office/drawing/2014/main" id="{6D213BF1-6A20-F343-AF99-101040994C16}"/>
            </a:ext>
          </a:extLst>
        </xdr:cNvPr>
        <xdr:cNvCxnSpPr/>
      </xdr:nvCxnSpPr>
      <xdr:spPr>
        <a:xfrm>
          <a:off x="13523076974" y="45516132"/>
          <a:ext cx="3342" cy="35760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404395</xdr:colOff>
      <xdr:row>219</xdr:row>
      <xdr:rowOff>143711</xdr:rowOff>
    </xdr:from>
    <xdr:to>
      <xdr:col>4</xdr:col>
      <xdr:colOff>414420</xdr:colOff>
      <xdr:row>224</xdr:row>
      <xdr:rowOff>193842</xdr:rowOff>
    </xdr:to>
    <xdr:cxnSp macro="">
      <xdr:nvCxnSpPr>
        <xdr:cNvPr id="27" name="Straight Connector 26">
          <a:extLst>
            <a:ext uri="{FF2B5EF4-FFF2-40B4-BE49-F238E27FC236}">
              <a16:creationId xmlns:a16="http://schemas.microsoft.com/office/drawing/2014/main" id="{44FF9A44-D572-B0E6-E0D1-07D30804F880}"/>
            </a:ext>
          </a:extLst>
        </xdr:cNvPr>
        <xdr:cNvCxnSpPr/>
      </xdr:nvCxnSpPr>
      <xdr:spPr>
        <a:xfrm>
          <a:off x="13521339080" y="4479089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330868</xdr:colOff>
      <xdr:row>224</xdr:row>
      <xdr:rowOff>190501</xdr:rowOff>
    </xdr:from>
    <xdr:to>
      <xdr:col>4</xdr:col>
      <xdr:colOff>407736</xdr:colOff>
      <xdr:row>225</xdr:row>
      <xdr:rowOff>0</xdr:rowOff>
    </xdr:to>
    <xdr:cxnSp macro="">
      <xdr:nvCxnSpPr>
        <xdr:cNvPr id="29" name="Straight Connector 28">
          <a:extLst>
            <a:ext uri="{FF2B5EF4-FFF2-40B4-BE49-F238E27FC236}">
              <a16:creationId xmlns:a16="http://schemas.microsoft.com/office/drawing/2014/main" id="{BDD2F3BD-D166-4CCC-3404-FE2E50D7E420}"/>
            </a:ext>
          </a:extLst>
        </xdr:cNvPr>
        <xdr:cNvCxnSpPr/>
      </xdr:nvCxnSpPr>
      <xdr:spPr>
        <a:xfrm>
          <a:off x="13521345764" y="45857027"/>
          <a:ext cx="1727868" cy="133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177133</xdr:colOff>
      <xdr:row>225</xdr:row>
      <xdr:rowOff>45784</xdr:rowOff>
    </xdr:from>
    <xdr:ext cx="1865181" cy="348044"/>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1</xdr:col>
      <xdr:colOff>611605</xdr:colOff>
      <xdr:row>227</xdr:row>
      <xdr:rowOff>59153</xdr:rowOff>
    </xdr:from>
    <xdr:ext cx="2503524" cy="345416"/>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oMath>
                </m:oMathPara>
              </a14:m>
              <a:endParaRPr lang="en-US" sz="1100"/>
            </a:p>
          </xdr:txBody>
        </xdr:sp>
      </mc:Choice>
      <mc:Fallback xmlns="">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50,000/(3%)∗(1−1/(1+3%)^9 )</a:t>
              </a:r>
              <a:endParaRPr lang="en-US" sz="1100"/>
            </a:p>
          </xdr:txBody>
        </xdr:sp>
      </mc:Fallback>
    </mc:AlternateContent>
    <xdr:clientData/>
  </xdr:oneCellAnchor>
  <xdr:twoCellAnchor>
    <xdr:from>
      <xdr:col>4</xdr:col>
      <xdr:colOff>508001</xdr:colOff>
      <xdr:row>219</xdr:row>
      <xdr:rowOff>173792</xdr:rowOff>
    </xdr:from>
    <xdr:to>
      <xdr:col>4</xdr:col>
      <xdr:colOff>792079</xdr:colOff>
      <xdr:row>225</xdr:row>
      <xdr:rowOff>66842</xdr:rowOff>
    </xdr:to>
    <xdr:cxnSp macro="">
      <xdr:nvCxnSpPr>
        <xdr:cNvPr id="33" name="Straight Connector 32">
          <a:extLst>
            <a:ext uri="{FF2B5EF4-FFF2-40B4-BE49-F238E27FC236}">
              <a16:creationId xmlns:a16="http://schemas.microsoft.com/office/drawing/2014/main" id="{244C8E57-DC96-4621-1A1D-01326128BD5A}"/>
            </a:ext>
          </a:extLst>
        </xdr:cNvPr>
        <xdr:cNvCxnSpPr/>
      </xdr:nvCxnSpPr>
      <xdr:spPr>
        <a:xfrm flipH="1">
          <a:off x="13520961421" y="44820976"/>
          <a:ext cx="284078" cy="11162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370975</xdr:colOff>
      <xdr:row>220</xdr:row>
      <xdr:rowOff>16712</xdr:rowOff>
    </xdr:from>
    <xdr:to>
      <xdr:col>6</xdr:col>
      <xdr:colOff>381000</xdr:colOff>
      <xdr:row>225</xdr:row>
      <xdr:rowOff>66843</xdr:rowOff>
    </xdr:to>
    <xdr:cxnSp macro="">
      <xdr:nvCxnSpPr>
        <xdr:cNvPr id="34" name="Straight Connector 33">
          <a:extLst>
            <a:ext uri="{FF2B5EF4-FFF2-40B4-BE49-F238E27FC236}">
              <a16:creationId xmlns:a16="http://schemas.microsoft.com/office/drawing/2014/main" id="{A671E427-2262-55D2-752A-6C6E6B952EA8}"/>
            </a:ext>
          </a:extLst>
        </xdr:cNvPr>
        <xdr:cNvCxnSpPr/>
      </xdr:nvCxnSpPr>
      <xdr:spPr>
        <a:xfrm>
          <a:off x="13519684737" y="4486776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792079</xdr:colOff>
      <xdr:row>225</xdr:row>
      <xdr:rowOff>63502</xdr:rowOff>
    </xdr:from>
    <xdr:to>
      <xdr:col>6</xdr:col>
      <xdr:colOff>374316</xdr:colOff>
      <xdr:row>225</xdr:row>
      <xdr:rowOff>73526</xdr:rowOff>
    </xdr:to>
    <xdr:cxnSp macro="">
      <xdr:nvCxnSpPr>
        <xdr:cNvPr id="35" name="Straight Connector 34">
          <a:extLst>
            <a:ext uri="{FF2B5EF4-FFF2-40B4-BE49-F238E27FC236}">
              <a16:creationId xmlns:a16="http://schemas.microsoft.com/office/drawing/2014/main" id="{039AD02A-6D63-C883-4438-03E53E0D78AD}"/>
            </a:ext>
          </a:extLst>
        </xdr:cNvPr>
        <xdr:cNvCxnSpPr/>
      </xdr:nvCxnSpPr>
      <xdr:spPr>
        <a:xfrm>
          <a:off x="13519691421" y="45933897"/>
          <a:ext cx="1270000" cy="1002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207211</xdr:colOff>
      <xdr:row>225</xdr:row>
      <xdr:rowOff>162760</xdr:rowOff>
    </xdr:from>
    <xdr:ext cx="2503524" cy="17722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3</m:t>
                        </m:r>
                      </m:sup>
                    </m:sSup>
                  </m:oMath>
                </m:oMathPara>
              </a14:m>
              <a:endParaRPr lang="en-US" sz="1100"/>
            </a:p>
          </xdr:txBody>
        </xdr:sp>
      </mc:Choice>
      <mc:Fallback xmlns="">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/(1+3%)^3</a:t>
              </a:r>
              <a:endParaRPr lang="en-US" sz="1100"/>
            </a:p>
          </xdr:txBody>
        </xdr:sp>
      </mc:Fallback>
    </mc:AlternateContent>
    <xdr:clientData/>
  </xdr:oneCellAnchor>
  <xdr:twoCellAnchor>
    <xdr:from>
      <xdr:col>2</xdr:col>
      <xdr:colOff>384342</xdr:colOff>
      <xdr:row>229</xdr:row>
      <xdr:rowOff>147053</xdr:rowOff>
    </xdr:from>
    <xdr:to>
      <xdr:col>4</xdr:col>
      <xdr:colOff>36763</xdr:colOff>
      <xdr:row>230</xdr:row>
      <xdr:rowOff>180474</xdr:rowOff>
    </xdr:to>
    <xdr:sp macro="" textlink="">
      <xdr:nvSpPr>
        <xdr:cNvPr id="39" name="Rectangle 38">
          <a:extLst>
            <a:ext uri="{FF2B5EF4-FFF2-40B4-BE49-F238E27FC236}">
              <a16:creationId xmlns:a16="http://schemas.microsoft.com/office/drawing/2014/main" id="{66DC245B-ED32-0614-EDF2-E81BD8DCB040}"/>
            </a:ext>
          </a:extLst>
        </xdr:cNvPr>
        <xdr:cNvSpPr/>
      </xdr:nvSpPr>
      <xdr:spPr>
        <a:xfrm>
          <a:off x="13521716737" y="46832921"/>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1</a:t>
          </a:r>
          <a:endParaRPr lang="en-US" sz="1100"/>
        </a:p>
      </xdr:txBody>
    </xdr:sp>
    <xdr:clientData/>
  </xdr:twoCellAnchor>
  <xdr:twoCellAnchor>
    <xdr:from>
      <xdr:col>4</xdr:col>
      <xdr:colOff>788737</xdr:colOff>
      <xdr:row>226</xdr:row>
      <xdr:rowOff>200526</xdr:rowOff>
    </xdr:from>
    <xdr:to>
      <xdr:col>6</xdr:col>
      <xdr:colOff>404395</xdr:colOff>
      <xdr:row>228</xdr:row>
      <xdr:rowOff>30079</xdr:rowOff>
    </xdr:to>
    <xdr:sp macro="" textlink="">
      <xdr:nvSpPr>
        <xdr:cNvPr id="40" name="Rectangle 39">
          <a:extLst>
            <a:ext uri="{FF2B5EF4-FFF2-40B4-BE49-F238E27FC236}">
              <a16:creationId xmlns:a16="http://schemas.microsoft.com/office/drawing/2014/main" id="{3CCB6811-62D5-25B5-45DC-6AAA9BD15F42}"/>
            </a:ext>
          </a:extLst>
        </xdr:cNvPr>
        <xdr:cNvSpPr/>
      </xdr:nvSpPr>
      <xdr:spPr>
        <a:xfrm>
          <a:off x="13519661342" y="46274789"/>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2</a:t>
          </a:r>
          <a:endParaRPr lang="en-US" sz="1100"/>
        </a:p>
      </xdr:txBody>
    </xdr:sp>
    <xdr:clientData/>
  </xdr:twoCellAnchor>
  <xdr:oneCellAnchor>
    <xdr:from>
      <xdr:col>2</xdr:col>
      <xdr:colOff>66151</xdr:colOff>
      <xdr:row>231</xdr:row>
      <xdr:rowOff>131297</xdr:rowOff>
    </xdr:from>
    <xdr:ext cx="3720051" cy="48853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1+3%</m:t>
                                </m:r>
                              </m:e>
                            </m:d>
                          </m:e>
                          <m:sup>
                            <m:r>
                              <a:rPr lang="en-US" sz="1100" b="0" i="0">
                                <a:latin typeface="Cambria Math" panose="02040503050406030204" pitchFamily="18" charset="0"/>
                              </a:rPr>
                              <m:t>3</m:t>
                            </m:r>
                          </m:sup>
                        </m:sSup>
                      </m:den>
                    </m:f>
                    <m:r>
                      <a:rPr lang="en-US" sz="1100" b="0" i="0">
                        <a:latin typeface="Cambria Math" panose="02040503050406030204" pitchFamily="18" charset="0"/>
                      </a:rPr>
                      <m:t>=356,269.63</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𝑃𝑉=50,000/(3%)∗((1−1/(1+3%)^9 ))/(1+3%)^3 =356,269.63</a:t>
              </a:r>
              <a:endParaRPr lang="en-US" sz="1100"/>
            </a:p>
          </xdr:txBody>
        </xdr:sp>
      </mc:Fallback>
    </mc:AlternateContent>
    <xdr:clientData/>
  </xdr:oneCellAnchor>
  <xdr:twoCellAnchor>
    <xdr:from>
      <xdr:col>3</xdr:col>
      <xdr:colOff>681789</xdr:colOff>
      <xdr:row>240</xdr:row>
      <xdr:rowOff>100264</xdr:rowOff>
    </xdr:from>
    <xdr:to>
      <xdr:col>4</xdr:col>
      <xdr:colOff>90237</xdr:colOff>
      <xdr:row>242</xdr:row>
      <xdr:rowOff>60158</xdr:rowOff>
    </xdr:to>
    <xdr:cxnSp macro="">
      <xdr:nvCxnSpPr>
        <xdr:cNvPr id="43" name="Straight Arrow Connector 42">
          <a:extLst>
            <a:ext uri="{FF2B5EF4-FFF2-40B4-BE49-F238E27FC236}">
              <a16:creationId xmlns:a16="http://schemas.microsoft.com/office/drawing/2014/main" id="{1C3531A1-6C84-40CB-5440-E5E128A30257}"/>
            </a:ext>
          </a:extLst>
        </xdr:cNvPr>
        <xdr:cNvCxnSpPr/>
      </xdr:nvCxnSpPr>
      <xdr:spPr>
        <a:xfrm>
          <a:off x="13521726763" y="49232553"/>
          <a:ext cx="233948" cy="3676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655651</xdr:colOff>
      <xdr:row>177</xdr:row>
      <xdr:rowOff>164893</xdr:rowOff>
    </xdr:from>
    <xdr:ext cx="1804561" cy="45967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B50D0947-3AF0-8570-CA7D-D93F88619495}"/>
                </a:ext>
              </a:extLst>
            </xdr:cNvPr>
            <xdr:cNvSpPr txBox="1"/>
          </xdr:nvSpPr>
          <xdr:spPr>
            <a:xfrm>
              <a:off x="13524382064" y="35977860"/>
              <a:ext cx="1804561"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B50D0947-3AF0-8570-CA7D-D93F88619495}"/>
                </a:ext>
              </a:extLst>
            </xdr:cNvPr>
            <xdr:cNvSpPr txBox="1"/>
          </xdr:nvSpPr>
          <xdr:spPr>
            <a:xfrm>
              <a:off x="13524382064" y="35977860"/>
              <a:ext cx="1804561"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6</xdr:col>
      <xdr:colOff>671139</xdr:colOff>
      <xdr:row>272</xdr:row>
      <xdr:rowOff>180691</xdr:rowOff>
    </xdr:from>
    <xdr:ext cx="1865181" cy="348044"/>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A28515E8-8709-CF4D-BAD6-E1A514A438ED}"/>
                </a:ext>
              </a:extLst>
            </xdr:cNvPr>
            <xdr:cNvSpPr txBox="1"/>
          </xdr:nvSpPr>
          <xdr:spPr>
            <a:xfrm>
              <a:off x="13525983802" y="55245000"/>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19" name="TextBox 18">
              <a:extLst>
                <a:ext uri="{FF2B5EF4-FFF2-40B4-BE49-F238E27FC236}">
                  <a16:creationId xmlns:a16="http://schemas.microsoft.com/office/drawing/2014/main" id="{A28515E8-8709-CF4D-BAD6-E1A514A438ED}"/>
                </a:ext>
              </a:extLst>
            </xdr:cNvPr>
            <xdr:cNvSpPr txBox="1"/>
          </xdr:nvSpPr>
          <xdr:spPr>
            <a:xfrm>
              <a:off x="13525983802" y="55245000"/>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6</xdr:col>
      <xdr:colOff>443984</xdr:colOff>
      <xdr:row>275</xdr:row>
      <xdr:rowOff>67114</xdr:rowOff>
    </xdr:from>
    <xdr:ext cx="3233271" cy="341953"/>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3ED424F4-6E7B-41C7-A5BF-23E3E4D8A815}"/>
                </a:ext>
              </a:extLst>
            </xdr:cNvPr>
            <xdr:cNvSpPr txBox="1"/>
          </xdr:nvSpPr>
          <xdr:spPr>
            <a:xfrm>
              <a:off x="13524842867" y="55735447"/>
              <a:ext cx="323327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10,000</m:t>
                        </m:r>
                      </m:num>
                      <m:den>
                        <m:r>
                          <a:rPr lang="en-US" sz="1100" b="0" i="1">
                            <a:latin typeface="Cambria Math" panose="02040503050406030204" pitchFamily="18" charset="0"/>
                          </a:rPr>
                          <m:t>3%</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20</m:t>
                                </m:r>
                              </m:sup>
                            </m:sSup>
                          </m:den>
                        </m:f>
                      </m:e>
                    </m:d>
                    <m:r>
                      <a:rPr lang="en-US" sz="1100" b="0" i="1">
                        <a:latin typeface="Cambria Math" panose="02040503050406030204" pitchFamily="18" charset="0"/>
                      </a:rPr>
                      <m:t>∗(1+3%)</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3ED424F4-6E7B-41C7-A5BF-23E3E4D8A815}"/>
                </a:ext>
              </a:extLst>
            </xdr:cNvPr>
            <xdr:cNvSpPr txBox="1"/>
          </xdr:nvSpPr>
          <xdr:spPr>
            <a:xfrm>
              <a:off x="13524842867" y="55735447"/>
              <a:ext cx="323327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𝑃𝑉=10,000/(3%)∗(1−1/(1+3%)^20 )∗(1+3%)</a:t>
              </a:r>
              <a:endParaRPr lang="en-US" sz="1100"/>
            </a:p>
          </xdr:txBody>
        </xdr:sp>
      </mc:Fallback>
    </mc:AlternateContent>
    <xdr:clientData/>
  </xdr:oneCellAnchor>
  <xdr:oneCellAnchor>
    <xdr:from>
      <xdr:col>6</xdr:col>
      <xdr:colOff>520700</xdr:colOff>
      <xdr:row>340</xdr:row>
      <xdr:rowOff>33867</xdr:rowOff>
    </xdr:from>
    <xdr:ext cx="1865181" cy="348044"/>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3F0D5B07-03F9-B147-AB99-65077C210C5F}"/>
                </a:ext>
              </a:extLst>
            </xdr:cNvPr>
            <xdr:cNvSpPr txBox="1"/>
          </xdr:nvSpPr>
          <xdr:spPr>
            <a:xfrm>
              <a:off x="13517678519" y="69439367"/>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25" name="TextBox 24">
              <a:extLst>
                <a:ext uri="{FF2B5EF4-FFF2-40B4-BE49-F238E27FC236}">
                  <a16:creationId xmlns:a16="http://schemas.microsoft.com/office/drawing/2014/main" id="{3F0D5B07-03F9-B147-AB99-65077C210C5F}"/>
                </a:ext>
              </a:extLst>
            </xdr:cNvPr>
            <xdr:cNvSpPr txBox="1"/>
          </xdr:nvSpPr>
          <xdr:spPr>
            <a:xfrm>
              <a:off x="13517678519" y="69439367"/>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4</xdr:col>
      <xdr:colOff>736600</xdr:colOff>
      <xdr:row>341</xdr:row>
      <xdr:rowOff>165101</xdr:rowOff>
    </xdr:from>
    <xdr:ext cx="3964915" cy="465320"/>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7CC4F3C4-6214-C7C1-F9D0-9387218D74B7}"/>
                </a:ext>
              </a:extLst>
            </xdr:cNvPr>
            <xdr:cNvSpPr txBox="1"/>
          </xdr:nvSpPr>
          <xdr:spPr>
            <a:xfrm>
              <a:off x="13517115485" y="69773801"/>
              <a:ext cx="3964915"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70,000</m:t>
                        </m:r>
                      </m:num>
                      <m:den>
                        <m:r>
                          <a:rPr lang="en-US" sz="1100" b="0" i="1">
                            <a:latin typeface="Cambria Math" panose="02040503050406030204" pitchFamily="18" charset="0"/>
                          </a:rPr>
                          <m:t>7%</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e>
                    </m:d>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90,000</m:t>
                            </m:r>
                          </m:num>
                          <m:den>
                            <m:r>
                              <a:rPr lang="en-US" sz="1100" b="0" i="1">
                                <a:latin typeface="Cambria Math" panose="02040503050406030204" pitchFamily="18" charset="0"/>
                              </a:rPr>
                              <m:t>7%</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7CC4F3C4-6214-C7C1-F9D0-9387218D74B7}"/>
                </a:ext>
              </a:extLst>
            </xdr:cNvPr>
            <xdr:cNvSpPr txBox="1"/>
          </xdr:nvSpPr>
          <xdr:spPr>
            <a:xfrm>
              <a:off x="13517115485" y="69773801"/>
              <a:ext cx="3964915"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𝑃𝑉=70,000/(7%)∗(1−1/(1+7%)^10 )+(90,000/(7%))/(1+7%)^10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1</xdr:col>
      <xdr:colOff>726807</xdr:colOff>
      <xdr:row>162</xdr:row>
      <xdr:rowOff>183614</xdr:rowOff>
    </xdr:from>
    <xdr:to>
      <xdr:col>3</xdr:col>
      <xdr:colOff>524067</xdr:colOff>
      <xdr:row>167</xdr:row>
      <xdr:rowOff>38253</xdr:rowOff>
    </xdr:to>
    <xdr:sp macro="" textlink="">
      <xdr:nvSpPr>
        <xdr:cNvPr id="2" name="Rectangle 1">
          <a:extLst>
            <a:ext uri="{FF2B5EF4-FFF2-40B4-BE49-F238E27FC236}">
              <a16:creationId xmlns:a16="http://schemas.microsoft.com/office/drawing/2014/main" id="{DA61A66F-36AE-AB94-0128-5B38C7B14504}"/>
            </a:ext>
          </a:extLst>
        </xdr:cNvPr>
        <xdr:cNvSpPr/>
      </xdr:nvSpPr>
      <xdr:spPr>
        <a:xfrm>
          <a:off x="13534435903" y="8518945"/>
          <a:ext cx="1434489" cy="86834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לבצע את הפרויקט</a:t>
          </a:r>
        </a:p>
        <a:p>
          <a:pPr algn="r" rtl="1"/>
          <a:endParaRPr lang="he-IL" sz="1100"/>
        </a:p>
        <a:p>
          <a:pPr algn="r" rtl="1"/>
          <a:r>
            <a:rPr lang="he-IL" sz="1100"/>
            <a:t>משלמת לסוקר</a:t>
          </a:r>
          <a:endParaRPr lang="en-US" sz="1100"/>
        </a:p>
      </xdr:txBody>
    </xdr:sp>
    <xdr:clientData/>
  </xdr:twoCellAnchor>
  <xdr:twoCellAnchor editAs="oneCell">
    <xdr:from>
      <xdr:col>4</xdr:col>
      <xdr:colOff>244819</xdr:colOff>
      <xdr:row>157</xdr:row>
      <xdr:rowOff>16784</xdr:rowOff>
    </xdr:from>
    <xdr:to>
      <xdr:col>5</xdr:col>
      <xdr:colOff>21115</xdr:colOff>
      <xdr:row>159</xdr:row>
      <xdr:rowOff>137864</xdr:rowOff>
    </xdr:to>
    <xdr:pic>
      <xdr:nvPicPr>
        <xdr:cNvPr id="3" name="Picture 2">
          <a:extLst>
            <a:ext uri="{FF2B5EF4-FFF2-40B4-BE49-F238E27FC236}">
              <a16:creationId xmlns:a16="http://schemas.microsoft.com/office/drawing/2014/main" id="{C1679830-E502-394A-FD0F-F9DB65B88754}"/>
            </a:ext>
          </a:extLst>
        </xdr:cNvPr>
        <xdr:cNvPicPr>
          <a:picLocks noChangeAspect="1"/>
        </xdr:cNvPicPr>
      </xdr:nvPicPr>
      <xdr:blipFill>
        <a:blip xmlns:r="http://schemas.openxmlformats.org/officeDocument/2006/relationships" r:embed="rId1"/>
        <a:stretch>
          <a:fillRect/>
        </a:stretch>
      </xdr:blipFill>
      <xdr:spPr>
        <a:xfrm>
          <a:off x="13533374307" y="7338411"/>
          <a:ext cx="602561" cy="526562"/>
        </a:xfrm>
        <a:prstGeom prst="rect">
          <a:avLst/>
        </a:prstGeom>
      </xdr:spPr>
    </xdr:pic>
    <xdr:clientData/>
  </xdr:twoCellAnchor>
  <xdr:twoCellAnchor>
    <xdr:from>
      <xdr:col>3</xdr:col>
      <xdr:colOff>118584</xdr:colOff>
      <xdr:row>158</xdr:row>
      <xdr:rowOff>77325</xdr:rowOff>
    </xdr:from>
    <xdr:to>
      <xdr:col>4</xdr:col>
      <xdr:colOff>244819</xdr:colOff>
      <xdr:row>162</xdr:row>
      <xdr:rowOff>84157</xdr:rowOff>
    </xdr:to>
    <xdr:cxnSp macro="">
      <xdr:nvCxnSpPr>
        <xdr:cNvPr id="5" name="Straight Arrow Connector 4">
          <a:extLst>
            <a:ext uri="{FF2B5EF4-FFF2-40B4-BE49-F238E27FC236}">
              <a16:creationId xmlns:a16="http://schemas.microsoft.com/office/drawing/2014/main" id="{F7D61A78-D000-1E29-60D9-C38F63C90F19}"/>
            </a:ext>
          </a:extLst>
        </xdr:cNvPr>
        <xdr:cNvCxnSpPr>
          <a:stCxn id="3" idx="3"/>
        </xdr:cNvCxnSpPr>
      </xdr:nvCxnSpPr>
      <xdr:spPr>
        <a:xfrm>
          <a:off x="13533976868" y="7601692"/>
          <a:ext cx="864518" cy="817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21115</xdr:colOff>
      <xdr:row>158</xdr:row>
      <xdr:rowOff>77325</xdr:rowOff>
    </xdr:from>
    <xdr:to>
      <xdr:col>6</xdr:col>
      <xdr:colOff>168313</xdr:colOff>
      <xdr:row>162</xdr:row>
      <xdr:rowOff>183615</xdr:rowOff>
    </xdr:to>
    <xdr:cxnSp macro="">
      <xdr:nvCxnSpPr>
        <xdr:cNvPr id="7" name="Straight Arrow Connector 6">
          <a:extLst>
            <a:ext uri="{FF2B5EF4-FFF2-40B4-BE49-F238E27FC236}">
              <a16:creationId xmlns:a16="http://schemas.microsoft.com/office/drawing/2014/main" id="{F22CEAEE-4C71-B155-03E8-97B5E9EAC6BF}"/>
            </a:ext>
          </a:extLst>
        </xdr:cNvPr>
        <xdr:cNvCxnSpPr>
          <a:stCxn id="3" idx="1"/>
        </xdr:cNvCxnSpPr>
      </xdr:nvCxnSpPr>
      <xdr:spPr>
        <a:xfrm flipH="1">
          <a:off x="13532400844" y="7601692"/>
          <a:ext cx="973463" cy="9172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508764</xdr:colOff>
      <xdr:row>162</xdr:row>
      <xdr:rowOff>202741</xdr:rowOff>
    </xdr:from>
    <xdr:to>
      <xdr:col>7</xdr:col>
      <xdr:colOff>696205</xdr:colOff>
      <xdr:row>167</xdr:row>
      <xdr:rowOff>65030</xdr:rowOff>
    </xdr:to>
    <xdr:sp macro="" textlink="">
      <xdr:nvSpPr>
        <xdr:cNvPr id="10" name="Rectangle 9">
          <a:extLst>
            <a:ext uri="{FF2B5EF4-FFF2-40B4-BE49-F238E27FC236}">
              <a16:creationId xmlns:a16="http://schemas.microsoft.com/office/drawing/2014/main" id="{8C1560C2-26E0-5D6D-B320-5CFD0C31AE6B}"/>
            </a:ext>
          </a:extLst>
        </xdr:cNvPr>
        <xdr:cNvSpPr/>
      </xdr:nvSpPr>
      <xdr:spPr>
        <a:xfrm>
          <a:off x="13531046687" y="8538072"/>
          <a:ext cx="1839971" cy="8759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לדחות את הפרויקט</a:t>
          </a:r>
        </a:p>
        <a:p>
          <a:pPr algn="r" rtl="1"/>
          <a:endParaRPr lang="he-IL" sz="1100"/>
        </a:p>
        <a:p>
          <a:pPr algn="r" rtl="1"/>
          <a:r>
            <a:rPr lang="he-IL" sz="1100"/>
            <a:t>משלמת לסוקר</a:t>
          </a:r>
          <a:r>
            <a:rPr lang="he-IL" sz="1100" baseline="0"/>
            <a:t> אותו סכום</a:t>
          </a:r>
          <a:endParaRPr lang="he-IL" sz="1100"/>
        </a:p>
        <a:p>
          <a:pPr algn="r" rtl="1"/>
          <a:endParaRPr lang="he-IL" sz="1100"/>
        </a:p>
        <a:p>
          <a:pPr algn="r" rtl="1"/>
          <a:endParaRPr lang="en-US" sz="1100"/>
        </a:p>
      </xdr:txBody>
    </xdr:sp>
    <xdr:clientData/>
  </xdr:twoCellAnchor>
  <xdr:twoCellAnchor>
    <xdr:from>
      <xdr:col>3</xdr:col>
      <xdr:colOff>650301</xdr:colOff>
      <xdr:row>164</xdr:row>
      <xdr:rowOff>195091</xdr:rowOff>
    </xdr:from>
    <xdr:to>
      <xdr:col>5</xdr:col>
      <xdr:colOff>374880</xdr:colOff>
      <xdr:row>165</xdr:row>
      <xdr:rowOff>3826</xdr:rowOff>
    </xdr:to>
    <xdr:cxnSp macro="">
      <xdr:nvCxnSpPr>
        <xdr:cNvPr id="12" name="Straight Arrow Connector 11">
          <a:extLst>
            <a:ext uri="{FF2B5EF4-FFF2-40B4-BE49-F238E27FC236}">
              <a16:creationId xmlns:a16="http://schemas.microsoft.com/office/drawing/2014/main" id="{0F92A8C6-E893-801B-187B-2937145DED15}"/>
            </a:ext>
          </a:extLst>
        </xdr:cNvPr>
        <xdr:cNvCxnSpPr/>
      </xdr:nvCxnSpPr>
      <xdr:spPr>
        <a:xfrm flipV="1">
          <a:off x="13533020542" y="8935904"/>
          <a:ext cx="1289127" cy="11476"/>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481988</xdr:colOff>
      <xdr:row>165</xdr:row>
      <xdr:rowOff>53554</xdr:rowOff>
    </xdr:from>
    <xdr:to>
      <xdr:col>4</xdr:col>
      <xdr:colOff>600573</xdr:colOff>
      <xdr:row>168</xdr:row>
      <xdr:rowOff>11476</xdr:rowOff>
    </xdr:to>
    <xdr:sp macro="" textlink="">
      <xdr:nvSpPr>
        <xdr:cNvPr id="13" name="Down Arrow 12">
          <a:extLst>
            <a:ext uri="{FF2B5EF4-FFF2-40B4-BE49-F238E27FC236}">
              <a16:creationId xmlns:a16="http://schemas.microsoft.com/office/drawing/2014/main" id="{2143E7FA-6995-5D05-69A8-F9337AEE17BC}"/>
            </a:ext>
          </a:extLst>
        </xdr:cNvPr>
        <xdr:cNvSpPr/>
      </xdr:nvSpPr>
      <xdr:spPr>
        <a:xfrm>
          <a:off x="13533621114" y="8997108"/>
          <a:ext cx="118585" cy="56614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183614</xdr:colOff>
      <xdr:row>164</xdr:row>
      <xdr:rowOff>9487</xdr:rowOff>
    </xdr:from>
    <xdr:ext cx="722482" cy="17376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twoCellAnchor editAs="oneCell">
    <xdr:from>
      <xdr:col>0</xdr:col>
      <xdr:colOff>0</xdr:colOff>
      <xdr:row>521</xdr:row>
      <xdr:rowOff>0</xdr:rowOff>
    </xdr:from>
    <xdr:to>
      <xdr:col>9</xdr:col>
      <xdr:colOff>239223</xdr:colOff>
      <xdr:row>528</xdr:row>
      <xdr:rowOff>168310</xdr:rowOff>
    </xdr:to>
    <xdr:pic>
      <xdr:nvPicPr>
        <xdr:cNvPr id="16" name="Picture 15">
          <a:extLst>
            <a:ext uri="{FF2B5EF4-FFF2-40B4-BE49-F238E27FC236}">
              <a16:creationId xmlns:a16="http://schemas.microsoft.com/office/drawing/2014/main" id="{65075DF1-85CD-9964-2C78-C6B47F44A4F1}"/>
            </a:ext>
          </a:extLst>
        </xdr:cNvPr>
        <xdr:cNvPicPr>
          <a:picLocks noChangeAspect="1"/>
        </xdr:cNvPicPr>
      </xdr:nvPicPr>
      <xdr:blipFill>
        <a:blip xmlns:r="http://schemas.openxmlformats.org/officeDocument/2006/relationships" r:embed="rId2"/>
        <a:stretch>
          <a:fillRect/>
        </a:stretch>
      </xdr:blipFill>
      <xdr:spPr>
        <a:xfrm>
          <a:off x="13529866964" y="21918976"/>
          <a:ext cx="7556500" cy="1587500"/>
        </a:xfrm>
        <a:prstGeom prst="rect">
          <a:avLst/>
        </a:prstGeom>
      </xdr:spPr>
    </xdr:pic>
    <xdr:clientData/>
  </xdr:twoCellAnchor>
  <xdr:twoCellAnchor>
    <xdr:from>
      <xdr:col>0</xdr:col>
      <xdr:colOff>390181</xdr:colOff>
      <xdr:row>521</xdr:row>
      <xdr:rowOff>145361</xdr:rowOff>
    </xdr:from>
    <xdr:to>
      <xdr:col>6</xdr:col>
      <xdr:colOff>378705</xdr:colOff>
      <xdr:row>522</xdr:row>
      <xdr:rowOff>145361</xdr:rowOff>
    </xdr:to>
    <xdr:sp macro="" textlink="">
      <xdr:nvSpPr>
        <xdr:cNvPr id="17" name="Rectangle 16">
          <a:extLst>
            <a:ext uri="{FF2B5EF4-FFF2-40B4-BE49-F238E27FC236}">
              <a16:creationId xmlns:a16="http://schemas.microsoft.com/office/drawing/2014/main" id="{5136A31E-04AE-510B-EC4E-4A8E20F975C9}"/>
            </a:ext>
          </a:extLst>
        </xdr:cNvPr>
        <xdr:cNvSpPr/>
      </xdr:nvSpPr>
      <xdr:spPr>
        <a:xfrm>
          <a:off x="13532190452" y="22064337"/>
          <a:ext cx="4842831" cy="2027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401657</xdr:colOff>
      <xdr:row>589</xdr:row>
      <xdr:rowOff>131233</xdr:rowOff>
    </xdr:from>
    <xdr:to>
      <xdr:col>12</xdr:col>
      <xdr:colOff>148167</xdr:colOff>
      <xdr:row>589</xdr:row>
      <xdr:rowOff>145362</xdr:rowOff>
    </xdr:to>
    <xdr:cxnSp macro="">
      <xdr:nvCxnSpPr>
        <xdr:cNvPr id="19" name="Straight Arrow Connector 18">
          <a:extLst>
            <a:ext uri="{FF2B5EF4-FFF2-40B4-BE49-F238E27FC236}">
              <a16:creationId xmlns:a16="http://schemas.microsoft.com/office/drawing/2014/main" id="{AC37D98E-34A5-DC6D-E32C-F36DA5107086}"/>
            </a:ext>
          </a:extLst>
        </xdr:cNvPr>
        <xdr:cNvCxnSpPr/>
      </xdr:nvCxnSpPr>
      <xdr:spPr>
        <a:xfrm>
          <a:off x="13514937833" y="26775833"/>
          <a:ext cx="9550910" cy="141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347133</xdr:colOff>
      <xdr:row>589</xdr:row>
      <xdr:rowOff>78316</xdr:rowOff>
    </xdr:from>
    <xdr:to>
      <xdr:col>10</xdr:col>
      <xdr:colOff>421217</xdr:colOff>
      <xdr:row>590</xdr:row>
      <xdr:rowOff>152399</xdr:rowOff>
    </xdr:to>
    <xdr:sp macro="" textlink="">
      <xdr:nvSpPr>
        <xdr:cNvPr id="23" name="Left Brace 22">
          <a:extLst>
            <a:ext uri="{FF2B5EF4-FFF2-40B4-BE49-F238E27FC236}">
              <a16:creationId xmlns:a16="http://schemas.microsoft.com/office/drawing/2014/main" id="{DEEBC684-8669-2F10-A255-C7572CEEDD60}"/>
            </a:ext>
          </a:extLst>
        </xdr:cNvPr>
        <xdr:cNvSpPr/>
      </xdr:nvSpPr>
      <xdr:spPr>
        <a:xfrm rot="16200000">
          <a:off x="13517452433" y="25586266"/>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249764</xdr:colOff>
      <xdr:row>589</xdr:row>
      <xdr:rowOff>78316</xdr:rowOff>
    </xdr:from>
    <xdr:to>
      <xdr:col>6</xdr:col>
      <xdr:colOff>455082</xdr:colOff>
      <xdr:row>590</xdr:row>
      <xdr:rowOff>152399</xdr:rowOff>
    </xdr:to>
    <xdr:sp macro="" textlink="">
      <xdr:nvSpPr>
        <xdr:cNvPr id="24" name="Left Brace 23">
          <a:extLst>
            <a:ext uri="{FF2B5EF4-FFF2-40B4-BE49-F238E27FC236}">
              <a16:creationId xmlns:a16="http://schemas.microsoft.com/office/drawing/2014/main" id="{4CC1ECDF-66BF-73F8-27C6-7EFFD5B2C43E}"/>
            </a:ext>
          </a:extLst>
        </xdr:cNvPr>
        <xdr:cNvSpPr/>
      </xdr:nvSpPr>
      <xdr:spPr>
        <a:xfrm rot="16200000">
          <a:off x="13521560885" y="24949149"/>
          <a:ext cx="277283" cy="4231218"/>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351365</xdr:colOff>
      <xdr:row>586</xdr:row>
      <xdr:rowOff>184152</xdr:rowOff>
    </xdr:from>
    <xdr:to>
      <xdr:col>10</xdr:col>
      <xdr:colOff>425449</xdr:colOff>
      <xdr:row>588</xdr:row>
      <xdr:rowOff>55035</xdr:rowOff>
    </xdr:to>
    <xdr:sp macro="" textlink="">
      <xdr:nvSpPr>
        <xdr:cNvPr id="25" name="Left Brace 24">
          <a:extLst>
            <a:ext uri="{FF2B5EF4-FFF2-40B4-BE49-F238E27FC236}">
              <a16:creationId xmlns:a16="http://schemas.microsoft.com/office/drawing/2014/main" id="{5ED6B005-7898-4107-69A4-294C2B99D65C}"/>
            </a:ext>
          </a:extLst>
        </xdr:cNvPr>
        <xdr:cNvSpPr/>
      </xdr:nvSpPr>
      <xdr:spPr>
        <a:xfrm rot="5400000">
          <a:off x="13517448201" y="25082502"/>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270933</xdr:colOff>
      <xdr:row>586</xdr:row>
      <xdr:rowOff>171454</xdr:rowOff>
    </xdr:from>
    <xdr:to>
      <xdr:col>6</xdr:col>
      <xdr:colOff>446615</xdr:colOff>
      <xdr:row>588</xdr:row>
      <xdr:rowOff>25403</xdr:rowOff>
    </xdr:to>
    <xdr:sp macro="" textlink="">
      <xdr:nvSpPr>
        <xdr:cNvPr id="26" name="Left Brace 25">
          <a:extLst>
            <a:ext uri="{FF2B5EF4-FFF2-40B4-BE49-F238E27FC236}">
              <a16:creationId xmlns:a16="http://schemas.microsoft.com/office/drawing/2014/main" id="{6A4F5B68-00C5-82E1-C8D9-72184948112F}"/>
            </a:ext>
          </a:extLst>
        </xdr:cNvPr>
        <xdr:cNvSpPr/>
      </xdr:nvSpPr>
      <xdr:spPr>
        <a:xfrm rot="5400000">
          <a:off x="13521563001" y="24235838"/>
          <a:ext cx="260349" cy="4201582"/>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444500</xdr:colOff>
      <xdr:row>585</xdr:row>
      <xdr:rowOff>71967</xdr:rowOff>
    </xdr:from>
    <xdr:to>
      <xdr:col>6</xdr:col>
      <xdr:colOff>446615</xdr:colOff>
      <xdr:row>588</xdr:row>
      <xdr:rowOff>25404</xdr:rowOff>
    </xdr:to>
    <xdr:cxnSp macro="">
      <xdr:nvCxnSpPr>
        <xdr:cNvPr id="28" name="Straight Connector 27">
          <a:extLst>
            <a:ext uri="{FF2B5EF4-FFF2-40B4-BE49-F238E27FC236}">
              <a16:creationId xmlns:a16="http://schemas.microsoft.com/office/drawing/2014/main" id="{A8387E2D-0560-32DF-2627-390DE84F91F8}"/>
            </a:ext>
          </a:extLst>
        </xdr:cNvPr>
        <xdr:cNvCxnSpPr>
          <a:stCxn id="26" idx="2"/>
        </xdr:cNvCxnSpPr>
      </xdr:nvCxnSpPr>
      <xdr:spPr>
        <a:xfrm flipV="1">
          <a:off x="13519592385" y="26106967"/>
          <a:ext cx="2115" cy="56303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442381</xdr:colOff>
      <xdr:row>585</xdr:row>
      <xdr:rowOff>71967</xdr:rowOff>
    </xdr:from>
    <xdr:to>
      <xdr:col>7</xdr:col>
      <xdr:colOff>444500</xdr:colOff>
      <xdr:row>585</xdr:row>
      <xdr:rowOff>80437</xdr:rowOff>
    </xdr:to>
    <xdr:cxnSp macro="">
      <xdr:nvCxnSpPr>
        <xdr:cNvPr id="29" name="Straight Connector 28">
          <a:extLst>
            <a:ext uri="{FF2B5EF4-FFF2-40B4-BE49-F238E27FC236}">
              <a16:creationId xmlns:a16="http://schemas.microsoft.com/office/drawing/2014/main" id="{A0E11413-7E91-ACE6-F51F-ADCFAEE6747F}"/>
            </a:ext>
          </a:extLst>
        </xdr:cNvPr>
        <xdr:cNvCxnSpPr/>
      </xdr:nvCxnSpPr>
      <xdr:spPr>
        <a:xfrm flipH="1" flipV="1">
          <a:off x="13518769000" y="26106967"/>
          <a:ext cx="827619" cy="847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429449</xdr:colOff>
      <xdr:row>585</xdr:row>
      <xdr:rowOff>67733</xdr:rowOff>
    </xdr:from>
    <xdr:to>
      <xdr:col>8</xdr:col>
      <xdr:colOff>357482</xdr:colOff>
      <xdr:row>588</xdr:row>
      <xdr:rowOff>42333</xdr:rowOff>
    </xdr:to>
    <xdr:cxnSp macro="">
      <xdr:nvCxnSpPr>
        <xdr:cNvPr id="31" name="Straight Connector 30">
          <a:extLst>
            <a:ext uri="{FF2B5EF4-FFF2-40B4-BE49-F238E27FC236}">
              <a16:creationId xmlns:a16="http://schemas.microsoft.com/office/drawing/2014/main" id="{A1A39BE0-2469-AE3E-C997-639704E0FA9A}"/>
            </a:ext>
          </a:extLst>
        </xdr:cNvPr>
        <xdr:cNvCxnSpPr/>
      </xdr:nvCxnSpPr>
      <xdr:spPr>
        <a:xfrm flipH="1">
          <a:off x="13556544444" y="116780733"/>
          <a:ext cx="755885" cy="58137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822960</xdr:colOff>
      <xdr:row>610</xdr:row>
      <xdr:rowOff>164677</xdr:rowOff>
    </xdr:from>
    <xdr:to>
      <xdr:col>7</xdr:col>
      <xdr:colOff>13120</xdr:colOff>
      <xdr:row>612</xdr:row>
      <xdr:rowOff>121922</xdr:rowOff>
    </xdr:to>
    <xdr:sp macro="" textlink="">
      <xdr:nvSpPr>
        <xdr:cNvPr id="33" name="Left Brace 32">
          <a:extLst>
            <a:ext uri="{FF2B5EF4-FFF2-40B4-BE49-F238E27FC236}">
              <a16:creationId xmlns:a16="http://schemas.microsoft.com/office/drawing/2014/main" id="{3A95056E-0A5C-4959-46B4-2C6421E8C151}"/>
            </a:ext>
          </a:extLst>
        </xdr:cNvPr>
        <xdr:cNvSpPr/>
      </xdr:nvSpPr>
      <xdr:spPr>
        <a:xfrm rot="5400000">
          <a:off x="13561453277" y="30629440"/>
          <a:ext cx="363645" cy="167428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294640</xdr:colOff>
      <xdr:row>620</xdr:row>
      <xdr:rowOff>60960</xdr:rowOff>
    </xdr:from>
    <xdr:to>
      <xdr:col>6</xdr:col>
      <xdr:colOff>447040</xdr:colOff>
      <xdr:row>621</xdr:row>
      <xdr:rowOff>111760</xdr:rowOff>
    </xdr:to>
    <xdr:sp macro="" textlink="">
      <xdr:nvSpPr>
        <xdr:cNvPr id="34" name="Down Arrow 33">
          <a:extLst>
            <a:ext uri="{FF2B5EF4-FFF2-40B4-BE49-F238E27FC236}">
              <a16:creationId xmlns:a16="http://schemas.microsoft.com/office/drawing/2014/main" id="{203C2260-18FE-855B-D9E5-5E428088BAB8}"/>
            </a:ext>
          </a:extLst>
        </xdr:cNvPr>
        <xdr:cNvSpPr/>
      </xdr:nvSpPr>
      <xdr:spPr>
        <a:xfrm>
          <a:off x="13561192080" y="332130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695960</xdr:colOff>
      <xdr:row>617</xdr:row>
      <xdr:rowOff>162560</xdr:rowOff>
    </xdr:from>
    <xdr:to>
      <xdr:col>6</xdr:col>
      <xdr:colOff>137160</xdr:colOff>
      <xdr:row>619</xdr:row>
      <xdr:rowOff>76200</xdr:rowOff>
    </xdr:to>
    <xdr:cxnSp macro="">
      <xdr:nvCxnSpPr>
        <xdr:cNvPr id="36" name="Straight Arrow Connector 35">
          <a:extLst>
            <a:ext uri="{FF2B5EF4-FFF2-40B4-BE49-F238E27FC236}">
              <a16:creationId xmlns:a16="http://schemas.microsoft.com/office/drawing/2014/main" id="{4D3F9AD1-5407-282B-4ADF-871647C2EA10}"/>
            </a:ext>
          </a:extLst>
        </xdr:cNvPr>
        <xdr:cNvCxnSpPr/>
      </xdr:nvCxnSpPr>
      <xdr:spPr>
        <a:xfrm>
          <a:off x="13561501960" y="32720280"/>
          <a:ext cx="269240" cy="3200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304800</xdr:colOff>
      <xdr:row>620</xdr:row>
      <xdr:rowOff>91440</xdr:rowOff>
    </xdr:from>
    <xdr:to>
      <xdr:col>5</xdr:col>
      <xdr:colOff>457200</xdr:colOff>
      <xdr:row>621</xdr:row>
      <xdr:rowOff>142240</xdr:rowOff>
    </xdr:to>
    <xdr:sp macro="" textlink="">
      <xdr:nvSpPr>
        <xdr:cNvPr id="37" name="Down Arrow 36">
          <a:extLst>
            <a:ext uri="{FF2B5EF4-FFF2-40B4-BE49-F238E27FC236}">
              <a16:creationId xmlns:a16="http://schemas.microsoft.com/office/drawing/2014/main" id="{6FB9EC3C-1E13-723B-3BC2-462ADC4E2647}"/>
            </a:ext>
          </a:extLst>
        </xdr:cNvPr>
        <xdr:cNvSpPr/>
      </xdr:nvSpPr>
      <xdr:spPr>
        <a:xfrm>
          <a:off x="13562009960" y="3325876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147320</xdr:colOff>
      <xdr:row>611</xdr:row>
      <xdr:rowOff>78319</xdr:rowOff>
    </xdr:from>
    <xdr:to>
      <xdr:col>4</xdr:col>
      <xdr:colOff>23280</xdr:colOff>
      <xdr:row>613</xdr:row>
      <xdr:rowOff>96523</xdr:rowOff>
    </xdr:to>
    <xdr:sp macro="" textlink="">
      <xdr:nvSpPr>
        <xdr:cNvPr id="38" name="Left Brace 37">
          <a:extLst>
            <a:ext uri="{FF2B5EF4-FFF2-40B4-BE49-F238E27FC236}">
              <a16:creationId xmlns:a16="http://schemas.microsoft.com/office/drawing/2014/main" id="{C3E901AD-32EB-5233-EF79-07586325F172}"/>
            </a:ext>
          </a:extLst>
        </xdr:cNvPr>
        <xdr:cNvSpPr/>
      </xdr:nvSpPr>
      <xdr:spPr>
        <a:xfrm rot="5400000">
          <a:off x="13563764678" y="30908841"/>
          <a:ext cx="439844" cy="142536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695960</xdr:colOff>
      <xdr:row>618</xdr:row>
      <xdr:rowOff>45720</xdr:rowOff>
    </xdr:from>
    <xdr:to>
      <xdr:col>2</xdr:col>
      <xdr:colOff>121920</xdr:colOff>
      <xdr:row>618</xdr:row>
      <xdr:rowOff>198120</xdr:rowOff>
    </xdr:to>
    <xdr:sp macro="" textlink="">
      <xdr:nvSpPr>
        <xdr:cNvPr id="39" name="Down Arrow 38">
          <a:extLst>
            <a:ext uri="{FF2B5EF4-FFF2-40B4-BE49-F238E27FC236}">
              <a16:creationId xmlns:a16="http://schemas.microsoft.com/office/drawing/2014/main" id="{7B498E81-798B-4F28-CDF4-C2A454C8ED9E}"/>
            </a:ext>
          </a:extLst>
        </xdr:cNvPr>
        <xdr:cNvSpPr/>
      </xdr:nvSpPr>
      <xdr:spPr>
        <a:xfrm rot="16200000">
          <a:off x="13564773480" y="327558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147320</xdr:colOff>
      <xdr:row>651</xdr:row>
      <xdr:rowOff>147320</xdr:rowOff>
    </xdr:from>
    <xdr:to>
      <xdr:col>12</xdr:col>
      <xdr:colOff>157480</xdr:colOff>
      <xdr:row>654</xdr:row>
      <xdr:rowOff>147320</xdr:rowOff>
    </xdr:to>
    <xdr:cxnSp macro="">
      <xdr:nvCxnSpPr>
        <xdr:cNvPr id="41" name="Straight Arrow Connector 40">
          <a:extLst>
            <a:ext uri="{FF2B5EF4-FFF2-40B4-BE49-F238E27FC236}">
              <a16:creationId xmlns:a16="http://schemas.microsoft.com/office/drawing/2014/main" id="{A2C2E449-3CC5-B4AD-1A5C-CD7168FA6F9A}"/>
            </a:ext>
          </a:extLst>
        </xdr:cNvPr>
        <xdr:cNvCxnSpPr/>
      </xdr:nvCxnSpPr>
      <xdr:spPr>
        <a:xfrm flipH="1">
          <a:off x="13556513400" y="39659560"/>
          <a:ext cx="10160" cy="6248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252</xdr:row>
      <xdr:rowOff>76200</xdr:rowOff>
    </xdr:from>
    <xdr:to>
      <xdr:col>7</xdr:col>
      <xdr:colOff>737186</xdr:colOff>
      <xdr:row>262</xdr:row>
      <xdr:rowOff>149927</xdr:rowOff>
    </xdr:to>
    <xdr:pic>
      <xdr:nvPicPr>
        <xdr:cNvPr id="4" name="Picture 3">
          <a:extLst>
            <a:ext uri="{FF2B5EF4-FFF2-40B4-BE49-F238E27FC236}">
              <a16:creationId xmlns:a16="http://schemas.microsoft.com/office/drawing/2014/main" id="{E268DE2D-5B79-D481-57B2-9E4ED47DE705}"/>
            </a:ext>
          </a:extLst>
        </xdr:cNvPr>
        <xdr:cNvPicPr>
          <a:picLocks noChangeAspect="1"/>
        </xdr:cNvPicPr>
      </xdr:nvPicPr>
      <xdr:blipFill>
        <a:blip xmlns:r="http://schemas.openxmlformats.org/officeDocument/2006/relationships" r:embed="rId3"/>
        <a:stretch>
          <a:fillRect/>
        </a:stretch>
      </xdr:blipFill>
      <xdr:spPr>
        <a:xfrm>
          <a:off x="13560089720" y="10673080"/>
          <a:ext cx="6410960" cy="2105727"/>
        </a:xfrm>
        <a:prstGeom prst="rect">
          <a:avLst/>
        </a:prstGeom>
      </xdr:spPr>
    </xdr:pic>
    <xdr:clientData/>
  </xdr:twoCellAnchor>
  <xdr:oneCellAnchor>
    <xdr:from>
      <xdr:col>3</xdr:col>
      <xdr:colOff>210830</xdr:colOff>
      <xdr:row>300</xdr:row>
      <xdr:rowOff>125091</xdr:rowOff>
    </xdr:from>
    <xdr:ext cx="2229628" cy="31688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twoCellAnchor editAs="oneCell">
    <xdr:from>
      <xdr:col>8</xdr:col>
      <xdr:colOff>823241</xdr:colOff>
      <xdr:row>299</xdr:row>
      <xdr:rowOff>0</xdr:rowOff>
    </xdr:from>
    <xdr:to>
      <xdr:col>10</xdr:col>
      <xdr:colOff>510259</xdr:colOff>
      <xdr:row>306</xdr:row>
      <xdr:rowOff>29562</xdr:rowOff>
    </xdr:to>
    <xdr:pic>
      <xdr:nvPicPr>
        <xdr:cNvPr id="8" name="Picture 7">
          <a:extLst>
            <a:ext uri="{FF2B5EF4-FFF2-40B4-BE49-F238E27FC236}">
              <a16:creationId xmlns:a16="http://schemas.microsoft.com/office/drawing/2014/main" id="{EB5BD898-1CAD-0A5E-4BD1-DDBE56B22D2D}"/>
            </a:ext>
          </a:extLst>
        </xdr:cNvPr>
        <xdr:cNvPicPr>
          <a:picLocks noChangeAspect="1"/>
        </xdr:cNvPicPr>
      </xdr:nvPicPr>
      <xdr:blipFill>
        <a:blip xmlns:r="http://schemas.openxmlformats.org/officeDocument/2006/relationships" r:embed="rId4"/>
        <a:stretch>
          <a:fillRect/>
        </a:stretch>
      </xdr:blipFill>
      <xdr:spPr>
        <a:xfrm>
          <a:off x="13479239623" y="19923439"/>
          <a:ext cx="1333500" cy="1435100"/>
        </a:xfrm>
        <a:prstGeom prst="rect">
          <a:avLst/>
        </a:prstGeom>
      </xdr:spPr>
    </xdr:pic>
    <xdr:clientData/>
  </xdr:twoCellAnchor>
  <xdr:twoCellAnchor>
    <xdr:from>
      <xdr:col>10</xdr:col>
      <xdr:colOff>441739</xdr:colOff>
      <xdr:row>297</xdr:row>
      <xdr:rowOff>195770</xdr:rowOff>
    </xdr:from>
    <xdr:to>
      <xdr:col>12</xdr:col>
      <xdr:colOff>667629</xdr:colOff>
      <xdr:row>304</xdr:row>
      <xdr:rowOff>20079</xdr:rowOff>
    </xdr:to>
    <xdr:sp macro="" textlink="">
      <xdr:nvSpPr>
        <xdr:cNvPr id="9" name="Rounded Rectangular Callout 8">
          <a:extLst>
            <a:ext uri="{FF2B5EF4-FFF2-40B4-BE49-F238E27FC236}">
              <a16:creationId xmlns:a16="http://schemas.microsoft.com/office/drawing/2014/main" id="{41383D42-CB5D-5D3B-E063-E122D1A1083C}"/>
            </a:ext>
          </a:extLst>
        </xdr:cNvPr>
        <xdr:cNvSpPr/>
      </xdr:nvSpPr>
      <xdr:spPr>
        <a:xfrm>
          <a:off x="13477435770" y="19717628"/>
          <a:ext cx="1872372" cy="1229842"/>
        </a:xfrm>
        <a:prstGeom prst="wedgeRoundRectCallout">
          <a:avLst>
            <a:gd name="adj1" fmla="val 70856"/>
            <a:gd name="adj2" fmla="val 604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אין</a:t>
          </a:r>
          <a:r>
            <a:rPr lang="he-IL" sz="1100" baseline="0"/>
            <a:t> דבר כזה לקחת ריבית אפקטיבית ולכפול אותה במשהו. לא קיים. אם רוצים לבצע המרה / התאמה של ריבית אפקטיבית - יש לנו כלי מתמטי אחד, חזקה.</a:t>
          </a:r>
          <a:endParaRPr lang="en-US" sz="1100"/>
        </a:p>
      </xdr:txBody>
    </xdr:sp>
    <xdr:clientData/>
  </xdr:twoCellAnchor>
  <xdr:oneCellAnchor>
    <xdr:from>
      <xdr:col>4</xdr:col>
      <xdr:colOff>85335</xdr:colOff>
      <xdr:row>306</xdr:row>
      <xdr:rowOff>115052</xdr:rowOff>
    </xdr:from>
    <xdr:ext cx="2661328" cy="254493"/>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1+42.8571%</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5</m:t>
                            </m:r>
                          </m:den>
                        </m:f>
                      </m:sup>
                    </m:sSup>
                    <m:r>
                      <a:rPr lang="he-IL" sz="1100" b="0" i="1">
                        <a:latin typeface="Cambria Math" panose="02040503050406030204" pitchFamily="18" charset="0"/>
                      </a:rPr>
                      <m:t>−1</m:t>
                    </m:r>
                    <m:r>
                      <a:rPr lang="he-IL" sz="1100" b="0" i="0">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(1+42.8571%)^(1/5)−1=</a:t>
              </a:r>
              <a:endParaRPr lang="en-US" sz="1100"/>
            </a:p>
          </xdr:txBody>
        </xdr:sp>
      </mc:Fallback>
    </mc:AlternateContent>
    <xdr:clientData/>
  </xdr:oneCellAnchor>
  <xdr:twoCellAnchor>
    <xdr:from>
      <xdr:col>5</xdr:col>
      <xdr:colOff>286127</xdr:colOff>
      <xdr:row>307</xdr:row>
      <xdr:rowOff>130514</xdr:rowOff>
    </xdr:from>
    <xdr:to>
      <xdr:col>5</xdr:col>
      <xdr:colOff>296166</xdr:colOff>
      <xdr:row>310</xdr:row>
      <xdr:rowOff>180712</xdr:rowOff>
    </xdr:to>
    <xdr:cxnSp macro="">
      <xdr:nvCxnSpPr>
        <xdr:cNvPr id="18" name="Straight Arrow Connector 17">
          <a:extLst>
            <a:ext uri="{FF2B5EF4-FFF2-40B4-BE49-F238E27FC236}">
              <a16:creationId xmlns:a16="http://schemas.microsoft.com/office/drawing/2014/main" id="{701092B8-AB27-622D-7C6D-7352CA223DD0}"/>
            </a:ext>
          </a:extLst>
        </xdr:cNvPr>
        <xdr:cNvCxnSpPr/>
      </xdr:nvCxnSpPr>
      <xdr:spPr>
        <a:xfrm>
          <a:off x="13483569921" y="21660277"/>
          <a:ext cx="10039" cy="6525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404</xdr:row>
      <xdr:rowOff>200790</xdr:rowOff>
    </xdr:from>
    <xdr:to>
      <xdr:col>7</xdr:col>
      <xdr:colOff>472626</xdr:colOff>
      <xdr:row>412</xdr:row>
      <xdr:rowOff>148721</xdr:rowOff>
    </xdr:to>
    <xdr:pic>
      <xdr:nvPicPr>
        <xdr:cNvPr id="27" name="Picture 26">
          <a:extLst>
            <a:ext uri="{FF2B5EF4-FFF2-40B4-BE49-F238E27FC236}">
              <a16:creationId xmlns:a16="http://schemas.microsoft.com/office/drawing/2014/main" id="{57E55B1A-2FDD-3D88-91E1-AFDFD2E7E995}"/>
            </a:ext>
          </a:extLst>
        </xdr:cNvPr>
        <xdr:cNvPicPr>
          <a:picLocks noChangeAspect="1"/>
        </xdr:cNvPicPr>
      </xdr:nvPicPr>
      <xdr:blipFill>
        <a:blip xmlns:r="http://schemas.openxmlformats.org/officeDocument/2006/relationships" r:embed="rId5"/>
        <a:stretch>
          <a:fillRect/>
        </a:stretch>
      </xdr:blipFill>
      <xdr:spPr>
        <a:xfrm>
          <a:off x="13481762805" y="30997035"/>
          <a:ext cx="6124111" cy="1554257"/>
        </a:xfrm>
        <a:prstGeom prst="rect">
          <a:avLst/>
        </a:prstGeom>
      </xdr:spPr>
    </xdr:pic>
    <xdr:clientData/>
  </xdr:twoCellAnchor>
  <xdr:oneCellAnchor>
    <xdr:from>
      <xdr:col>4</xdr:col>
      <xdr:colOff>671842</xdr:colOff>
      <xdr:row>470</xdr:row>
      <xdr:rowOff>15257</xdr:rowOff>
    </xdr:from>
    <xdr:ext cx="1140400" cy="31803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83</m:t>
                        </m:r>
                      </m:den>
                    </m:f>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𝑟_𝑒=100/83−1=</a:t>
              </a:r>
              <a:endParaRPr lang="en-US" sz="1100"/>
            </a:p>
          </xdr:txBody>
        </xdr:sp>
      </mc:Fallback>
    </mc:AlternateContent>
    <xdr:clientData/>
  </xdr:oneCellAnchor>
  <xdr:twoCellAnchor editAs="oneCell">
    <xdr:from>
      <xdr:col>7</xdr:col>
      <xdr:colOff>44405</xdr:colOff>
      <xdr:row>774</xdr:row>
      <xdr:rowOff>13612</xdr:rowOff>
    </xdr:from>
    <xdr:to>
      <xdr:col>8</xdr:col>
      <xdr:colOff>511558</xdr:colOff>
      <xdr:row>778</xdr:row>
      <xdr:rowOff>49156</xdr:rowOff>
    </xdr:to>
    <xdr:pic>
      <xdr:nvPicPr>
        <xdr:cNvPr id="32" name="Picture 31">
          <a:extLst>
            <a:ext uri="{FF2B5EF4-FFF2-40B4-BE49-F238E27FC236}">
              <a16:creationId xmlns:a16="http://schemas.microsoft.com/office/drawing/2014/main" id="{B4692978-C391-18D6-68F3-4571BEF639B8}"/>
            </a:ext>
          </a:extLst>
        </xdr:cNvPr>
        <xdr:cNvPicPr>
          <a:picLocks noChangeAspect="1"/>
        </xdr:cNvPicPr>
      </xdr:nvPicPr>
      <xdr:blipFill>
        <a:blip xmlns:r="http://schemas.openxmlformats.org/officeDocument/2006/relationships" r:embed="rId6"/>
        <a:stretch>
          <a:fillRect/>
        </a:stretch>
      </xdr:blipFill>
      <xdr:spPr>
        <a:xfrm>
          <a:off x="13525148301" y="90498892"/>
          <a:ext cx="1293098" cy="852609"/>
        </a:xfrm>
        <a:prstGeom prst="rect">
          <a:avLst/>
        </a:prstGeom>
      </xdr:spPr>
    </xdr:pic>
    <xdr:clientData/>
  </xdr:twoCellAnchor>
  <xdr:twoCellAnchor editAs="oneCell">
    <xdr:from>
      <xdr:col>4</xdr:col>
      <xdr:colOff>247062</xdr:colOff>
      <xdr:row>443</xdr:row>
      <xdr:rowOff>130034</xdr:rowOff>
    </xdr:from>
    <xdr:to>
      <xdr:col>6</xdr:col>
      <xdr:colOff>22094</xdr:colOff>
      <xdr:row>448</xdr:row>
      <xdr:rowOff>37535</xdr:rowOff>
    </xdr:to>
    <xdr:pic>
      <xdr:nvPicPr>
        <xdr:cNvPr id="35" name="Picture 34">
          <a:extLst>
            <a:ext uri="{FF2B5EF4-FFF2-40B4-BE49-F238E27FC236}">
              <a16:creationId xmlns:a16="http://schemas.microsoft.com/office/drawing/2014/main" id="{A58AEF80-C1C4-724F-AF98-6D6D659D6089}"/>
            </a:ext>
          </a:extLst>
        </xdr:cNvPr>
        <xdr:cNvPicPr>
          <a:picLocks noChangeAspect="1"/>
        </xdr:cNvPicPr>
      </xdr:nvPicPr>
      <xdr:blipFill>
        <a:blip xmlns:r="http://schemas.openxmlformats.org/officeDocument/2006/relationships" r:embed="rId6"/>
        <a:stretch>
          <a:fillRect/>
        </a:stretch>
      </xdr:blipFill>
      <xdr:spPr>
        <a:xfrm>
          <a:off x="13488087247" y="33821877"/>
          <a:ext cx="1406305" cy="926103"/>
        </a:xfrm>
        <a:prstGeom prst="rect">
          <a:avLst/>
        </a:prstGeom>
      </xdr:spPr>
    </xdr:pic>
    <xdr:clientData/>
  </xdr:twoCellAnchor>
  <xdr:oneCellAnchor>
    <xdr:from>
      <xdr:col>0</xdr:col>
      <xdr:colOff>598158</xdr:colOff>
      <xdr:row>446</xdr:row>
      <xdr:rowOff>145290</xdr:rowOff>
    </xdr:from>
    <xdr:ext cx="1296441" cy="321370"/>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18%</m:t>
                        </m:r>
                      </m:num>
                      <m:den>
                        <m:r>
                          <a:rPr lang="he-IL" sz="1100" b="0" i="1">
                            <a:latin typeface="Cambria Math" panose="02040503050406030204" pitchFamily="18" charset="0"/>
                          </a:rPr>
                          <m:t>4</m:t>
                        </m:r>
                      </m:den>
                    </m:f>
                    <m:r>
                      <a:rPr lang="he-IL" sz="1100" b="0" i="1">
                        <a:latin typeface="Cambria Math" panose="02040503050406030204" pitchFamily="18" charset="0"/>
                      </a:rPr>
                      <m:t>=4.5%</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𝑑/𝑚</a:t>
              </a:r>
              <a:r>
                <a:rPr lang="he-IL" sz="1100" b="0" i="0">
                  <a:latin typeface="Cambria Math" panose="02040503050406030204" pitchFamily="18" charset="0"/>
                </a:rPr>
                <a:t>=(18%)/4=4.5%</a:t>
              </a:r>
              <a:endParaRPr lang="en-US" sz="1100"/>
            </a:p>
          </xdr:txBody>
        </xdr:sp>
      </mc:Fallback>
    </mc:AlternateContent>
    <xdr:clientData/>
  </xdr:oneCellAnchor>
  <xdr:oneCellAnchor>
    <xdr:from>
      <xdr:col>5</xdr:col>
      <xdr:colOff>372766</xdr:colOff>
      <xdr:row>452</xdr:row>
      <xdr:rowOff>93276</xdr:rowOff>
    </xdr:from>
    <xdr:ext cx="2328045" cy="348044"/>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1−4.5%</m:t>
                                </m:r>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𝑟_𝑒=1/(1−4.5%)^4 −1=20.22271%</a:t>
              </a:r>
              <a:endParaRPr lang="en-US" sz="1100"/>
            </a:p>
          </xdr:txBody>
        </xdr:sp>
      </mc:Fallback>
    </mc:AlternateContent>
    <xdr:clientData/>
  </xdr:oneCellAnchor>
  <xdr:oneCellAnchor>
    <xdr:from>
      <xdr:col>5</xdr:col>
      <xdr:colOff>355428</xdr:colOff>
      <xdr:row>454</xdr:row>
      <xdr:rowOff>162628</xdr:rowOff>
    </xdr:from>
    <xdr:ext cx="2328045" cy="498470"/>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𝑟_𝑒=1/(1−(18%)/4)^4 −1=20.22271%</a:t>
              </a:r>
              <a:endParaRPr lang="en-US" sz="1100"/>
            </a:p>
          </xdr:txBody>
        </xdr:sp>
      </mc:Fallback>
    </mc:AlternateContent>
    <xdr:clientData/>
  </xdr:oneCellAnchor>
  <xdr:twoCellAnchor editAs="oneCell">
    <xdr:from>
      <xdr:col>7</xdr:col>
      <xdr:colOff>39010</xdr:colOff>
      <xdr:row>779</xdr:row>
      <xdr:rowOff>185594</xdr:rowOff>
    </xdr:from>
    <xdr:to>
      <xdr:col>8</xdr:col>
      <xdr:colOff>418708</xdr:colOff>
      <xdr:row>782</xdr:row>
      <xdr:rowOff>121368</xdr:rowOff>
    </xdr:to>
    <xdr:pic>
      <xdr:nvPicPr>
        <xdr:cNvPr id="49" name="Picture 48">
          <a:extLst>
            <a:ext uri="{FF2B5EF4-FFF2-40B4-BE49-F238E27FC236}">
              <a16:creationId xmlns:a16="http://schemas.microsoft.com/office/drawing/2014/main" id="{3B545D08-B506-1357-6384-217307F99D29}"/>
            </a:ext>
          </a:extLst>
        </xdr:cNvPr>
        <xdr:cNvPicPr>
          <a:picLocks noChangeAspect="1"/>
        </xdr:cNvPicPr>
      </xdr:nvPicPr>
      <xdr:blipFill>
        <a:blip xmlns:r="http://schemas.openxmlformats.org/officeDocument/2006/relationships" r:embed="rId7"/>
        <a:stretch>
          <a:fillRect/>
        </a:stretch>
      </xdr:blipFill>
      <xdr:spPr>
        <a:xfrm>
          <a:off x="13486027707" y="91456550"/>
          <a:ext cx="1203249" cy="546931"/>
        </a:xfrm>
        <a:prstGeom prst="rect">
          <a:avLst/>
        </a:prstGeom>
      </xdr:spPr>
    </xdr:pic>
    <xdr:clientData/>
  </xdr:twoCellAnchor>
  <xdr:twoCellAnchor editAs="oneCell">
    <xdr:from>
      <xdr:col>5</xdr:col>
      <xdr:colOff>563951</xdr:colOff>
      <xdr:row>416</xdr:row>
      <xdr:rowOff>186504</xdr:rowOff>
    </xdr:from>
    <xdr:to>
      <xdr:col>7</xdr:col>
      <xdr:colOff>384392</xdr:colOff>
      <xdr:row>420</xdr:row>
      <xdr:rowOff>26417</xdr:rowOff>
    </xdr:to>
    <xdr:pic>
      <xdr:nvPicPr>
        <xdr:cNvPr id="51" name="Picture 50">
          <a:extLst>
            <a:ext uri="{FF2B5EF4-FFF2-40B4-BE49-F238E27FC236}">
              <a16:creationId xmlns:a16="http://schemas.microsoft.com/office/drawing/2014/main" id="{B7FE3215-D094-5822-077A-FC72D5B438AC}"/>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twoCellAnchor>
  <xdr:oneCellAnchor>
    <xdr:from>
      <xdr:col>4</xdr:col>
      <xdr:colOff>563951</xdr:colOff>
      <xdr:row>424</xdr:row>
      <xdr:rowOff>20160</xdr:rowOff>
    </xdr:from>
    <xdr:ext cx="1738368" cy="176523"/>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𝑟_𝑒=(1+5%)^4−1=</a:t>
              </a:r>
              <a:endParaRPr lang="en-US" sz="1100"/>
            </a:p>
          </xdr:txBody>
        </xdr:sp>
      </mc:Fallback>
    </mc:AlternateContent>
    <xdr:clientData/>
  </xdr:oneCellAnchor>
  <xdr:oneCellAnchor>
    <xdr:from>
      <xdr:col>4</xdr:col>
      <xdr:colOff>666084</xdr:colOff>
      <xdr:row>425</xdr:row>
      <xdr:rowOff>82327</xdr:rowOff>
    </xdr:from>
    <xdr:ext cx="1738368" cy="3543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𝑟_𝑒=(1+(20%)/4)^4−1=</a:t>
              </a:r>
              <a:endParaRPr lang="en-US" sz="1100"/>
            </a:p>
          </xdr:txBody>
        </xdr:sp>
      </mc:Fallback>
    </mc:AlternateContent>
    <xdr:clientData/>
  </xdr:oneCellAnchor>
  <xdr:oneCellAnchor>
    <xdr:from>
      <xdr:col>5</xdr:col>
      <xdr:colOff>563951</xdr:colOff>
      <xdr:row>429</xdr:row>
      <xdr:rowOff>186504</xdr:rowOff>
    </xdr:from>
    <xdr:ext cx="1456504" cy="656976"/>
    <xdr:pic>
      <xdr:nvPicPr>
        <xdr:cNvPr id="54" name="Picture 53">
          <a:extLst>
            <a:ext uri="{FF2B5EF4-FFF2-40B4-BE49-F238E27FC236}">
              <a16:creationId xmlns:a16="http://schemas.microsoft.com/office/drawing/2014/main" id="{BCC73F96-2F71-A647-B206-530E6D325BC4}"/>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oneCellAnchor>
  <xdr:oneCellAnchor>
    <xdr:from>
      <xdr:col>4</xdr:col>
      <xdr:colOff>563951</xdr:colOff>
      <xdr:row>438</xdr:row>
      <xdr:rowOff>20160</xdr:rowOff>
    </xdr:from>
    <xdr:ext cx="1738368" cy="176523"/>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24</m:t>
                            </m:r>
                            <m:r>
                              <a:rPr lang="en-US" sz="1100" b="0" i="1">
                                <a:latin typeface="Cambria Math" panose="02040503050406030204" pitchFamily="18" charset="0"/>
                              </a:rPr>
                              <m:t>%</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24</a:t>
              </a:r>
              <a:r>
                <a:rPr lang="en-US" sz="1100" b="0" i="0">
                  <a:latin typeface="Cambria Math" panose="02040503050406030204" pitchFamily="18" charset="0"/>
                </a:rPr>
                <a:t>%)^4−1=</a:t>
              </a:r>
              <a:endParaRPr lang="en-US" sz="1100"/>
            </a:p>
          </xdr:txBody>
        </xdr:sp>
      </mc:Fallback>
    </mc:AlternateContent>
    <xdr:clientData/>
  </xdr:oneCellAnchor>
  <xdr:oneCellAnchor>
    <xdr:from>
      <xdr:col>4</xdr:col>
      <xdr:colOff>666084</xdr:colOff>
      <xdr:row>439</xdr:row>
      <xdr:rowOff>82327</xdr:rowOff>
    </xdr:from>
    <xdr:ext cx="1738368" cy="35432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m:t>
                                </m:r>
                                <m:r>
                                  <a:rPr lang="he-IL" sz="1100" b="0" i="1">
                                    <a:latin typeface="Cambria Math" panose="02040503050406030204" pitchFamily="18" charset="0"/>
                                  </a:rPr>
                                  <m:t>4</m:t>
                                </m:r>
                                <m:r>
                                  <a:rPr lang="en-US" sz="1100" b="0" i="1">
                                    <a:latin typeface="Cambria Math" panose="02040503050406030204" pitchFamily="18" charset="0"/>
                                  </a:rPr>
                                  <m:t>%</m:t>
                                </m:r>
                              </m:num>
                              <m:den>
                                <m:r>
                                  <a:rPr lang="he-IL" sz="1100" b="0" i="1">
                                    <a:latin typeface="Cambria Math" panose="02040503050406030204" pitchFamily="18" charset="0"/>
                                  </a:rPr>
                                  <m:t>1</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−1=</a:t>
              </a:r>
              <a:endParaRPr lang="en-US" sz="1100"/>
            </a:p>
          </xdr:txBody>
        </xdr:sp>
      </mc:Fallback>
    </mc:AlternateContent>
    <xdr:clientData/>
  </xdr:oneCellAnchor>
  <xdr:twoCellAnchor editAs="oneCell">
    <xdr:from>
      <xdr:col>0</xdr:col>
      <xdr:colOff>0</xdr:colOff>
      <xdr:row>2</xdr:row>
      <xdr:rowOff>0</xdr:rowOff>
    </xdr:from>
    <xdr:to>
      <xdr:col>7</xdr:col>
      <xdr:colOff>557898</xdr:colOff>
      <xdr:row>11</xdr:row>
      <xdr:rowOff>124632</xdr:rowOff>
    </xdr:to>
    <xdr:pic>
      <xdr:nvPicPr>
        <xdr:cNvPr id="15" name="Picture 14">
          <a:extLst>
            <a:ext uri="{FF2B5EF4-FFF2-40B4-BE49-F238E27FC236}">
              <a16:creationId xmlns:a16="http://schemas.microsoft.com/office/drawing/2014/main" id="{C5EB686F-B451-F10E-1CA0-1E814D2EF675}"/>
            </a:ext>
          </a:extLst>
        </xdr:cNvPr>
        <xdr:cNvPicPr>
          <a:picLocks noChangeAspect="1"/>
        </xdr:cNvPicPr>
      </xdr:nvPicPr>
      <xdr:blipFill>
        <a:blip xmlns:r="http://schemas.openxmlformats.org/officeDocument/2006/relationships" r:embed="rId9"/>
        <a:stretch>
          <a:fillRect/>
        </a:stretch>
      </xdr:blipFill>
      <xdr:spPr>
        <a:xfrm>
          <a:off x="13527126220" y="402683"/>
          <a:ext cx="6220934" cy="1936705"/>
        </a:xfrm>
        <a:prstGeom prst="rect">
          <a:avLst/>
        </a:prstGeom>
      </xdr:spPr>
    </xdr:pic>
    <xdr:clientData/>
  </xdr:twoCellAnchor>
  <xdr:twoCellAnchor>
    <xdr:from>
      <xdr:col>5</xdr:col>
      <xdr:colOff>503425</xdr:colOff>
      <xdr:row>47</xdr:row>
      <xdr:rowOff>18576</xdr:rowOff>
    </xdr:from>
    <xdr:to>
      <xdr:col>5</xdr:col>
      <xdr:colOff>760591</xdr:colOff>
      <xdr:row>51</xdr:row>
      <xdr:rowOff>200136</xdr:rowOff>
    </xdr:to>
    <xdr:sp macro="" textlink="">
      <xdr:nvSpPr>
        <xdr:cNvPr id="20" name="Left Brace 19">
          <a:extLst>
            <a:ext uri="{FF2B5EF4-FFF2-40B4-BE49-F238E27FC236}">
              <a16:creationId xmlns:a16="http://schemas.microsoft.com/office/drawing/2014/main" id="{8BB549B2-589E-5F7D-8678-CF1AE709E21B}"/>
            </a:ext>
          </a:extLst>
        </xdr:cNvPr>
        <xdr:cNvSpPr/>
      </xdr:nvSpPr>
      <xdr:spPr>
        <a:xfrm>
          <a:off x="13528544247" y="7669552"/>
          <a:ext cx="257166" cy="986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0</xdr:col>
      <xdr:colOff>5163</xdr:colOff>
      <xdr:row>67</xdr:row>
      <xdr:rowOff>165203</xdr:rowOff>
    </xdr:from>
    <xdr:to>
      <xdr:col>9</xdr:col>
      <xdr:colOff>462156</xdr:colOff>
      <xdr:row>78</xdr:row>
      <xdr:rowOff>26857</xdr:rowOff>
    </xdr:to>
    <xdr:pic>
      <xdr:nvPicPr>
        <xdr:cNvPr id="21" name="Picture 20">
          <a:extLst>
            <a:ext uri="{FF2B5EF4-FFF2-40B4-BE49-F238E27FC236}">
              <a16:creationId xmlns:a16="http://schemas.microsoft.com/office/drawing/2014/main" id="{62D9125A-47C6-81D5-8D59-5331ACED5DE3}"/>
            </a:ext>
          </a:extLst>
        </xdr:cNvPr>
        <xdr:cNvPicPr>
          <a:picLocks noChangeAspect="1"/>
        </xdr:cNvPicPr>
      </xdr:nvPicPr>
      <xdr:blipFill>
        <a:blip xmlns:r="http://schemas.openxmlformats.org/officeDocument/2006/relationships" r:embed="rId10"/>
        <a:stretch>
          <a:fillRect/>
        </a:stretch>
      </xdr:blipFill>
      <xdr:spPr>
        <a:xfrm>
          <a:off x="13525554104" y="11843008"/>
          <a:ext cx="7772400" cy="2076410"/>
        </a:xfrm>
        <a:prstGeom prst="rect">
          <a:avLst/>
        </a:prstGeom>
      </xdr:spPr>
    </xdr:pic>
    <xdr:clientData/>
  </xdr:twoCellAnchor>
  <xdr:twoCellAnchor editAs="oneCell">
    <xdr:from>
      <xdr:col>0</xdr:col>
      <xdr:colOff>57354</xdr:colOff>
      <xdr:row>172</xdr:row>
      <xdr:rowOff>108179</xdr:rowOff>
    </xdr:from>
    <xdr:to>
      <xdr:col>7</xdr:col>
      <xdr:colOff>643194</xdr:colOff>
      <xdr:row>182</xdr:row>
      <xdr:rowOff>111570</xdr:rowOff>
    </xdr:to>
    <xdr:pic>
      <xdr:nvPicPr>
        <xdr:cNvPr id="22" name="Picture 21">
          <a:extLst>
            <a:ext uri="{FF2B5EF4-FFF2-40B4-BE49-F238E27FC236}">
              <a16:creationId xmlns:a16="http://schemas.microsoft.com/office/drawing/2014/main" id="{81BAA072-3FCE-E419-035A-08FE4A75C048}"/>
            </a:ext>
          </a:extLst>
        </xdr:cNvPr>
        <xdr:cNvPicPr>
          <a:picLocks noChangeAspect="1"/>
        </xdr:cNvPicPr>
      </xdr:nvPicPr>
      <xdr:blipFill>
        <a:blip xmlns:r="http://schemas.openxmlformats.org/officeDocument/2006/relationships" r:embed="rId11"/>
        <a:stretch>
          <a:fillRect/>
        </a:stretch>
      </xdr:blipFill>
      <xdr:spPr>
        <a:xfrm>
          <a:off x="13552116742" y="33521469"/>
          <a:ext cx="6255775" cy="2051779"/>
        </a:xfrm>
        <a:prstGeom prst="rect">
          <a:avLst/>
        </a:prstGeom>
      </xdr:spPr>
    </xdr:pic>
    <xdr:clientData/>
  </xdr:twoCellAnchor>
  <xdr:twoCellAnchor editAs="oneCell">
    <xdr:from>
      <xdr:col>0</xdr:col>
      <xdr:colOff>1</xdr:colOff>
      <xdr:row>198</xdr:row>
      <xdr:rowOff>139291</xdr:rowOff>
    </xdr:from>
    <xdr:to>
      <xdr:col>7</xdr:col>
      <xdr:colOff>519347</xdr:colOff>
      <xdr:row>207</xdr:row>
      <xdr:rowOff>180259</xdr:rowOff>
    </xdr:to>
    <xdr:pic>
      <xdr:nvPicPr>
        <xdr:cNvPr id="42" name="Picture 41">
          <a:extLst>
            <a:ext uri="{FF2B5EF4-FFF2-40B4-BE49-F238E27FC236}">
              <a16:creationId xmlns:a16="http://schemas.microsoft.com/office/drawing/2014/main" id="{3CF65895-A5CB-5E99-82EA-7490082B9B25}"/>
            </a:ext>
          </a:extLst>
        </xdr:cNvPr>
        <xdr:cNvPicPr>
          <a:picLocks noChangeAspect="1"/>
        </xdr:cNvPicPr>
      </xdr:nvPicPr>
      <xdr:blipFill>
        <a:blip xmlns:r="http://schemas.openxmlformats.org/officeDocument/2006/relationships" r:embed="rId12"/>
        <a:stretch>
          <a:fillRect/>
        </a:stretch>
      </xdr:blipFill>
      <xdr:spPr>
        <a:xfrm>
          <a:off x="13552240589" y="38902968"/>
          <a:ext cx="6189281" cy="1884516"/>
        </a:xfrm>
        <a:prstGeom prst="rect">
          <a:avLst/>
        </a:prstGeom>
      </xdr:spPr>
    </xdr:pic>
    <xdr:clientData/>
  </xdr:twoCellAnchor>
  <xdr:twoCellAnchor editAs="oneCell">
    <xdr:from>
      <xdr:col>0</xdr:col>
      <xdr:colOff>19538</xdr:colOff>
      <xdr:row>320</xdr:row>
      <xdr:rowOff>73268</xdr:rowOff>
    </xdr:from>
    <xdr:to>
      <xdr:col>8</xdr:col>
      <xdr:colOff>137643</xdr:colOff>
      <xdr:row>332</xdr:row>
      <xdr:rowOff>180731</xdr:rowOff>
    </xdr:to>
    <xdr:pic>
      <xdr:nvPicPr>
        <xdr:cNvPr id="45" name="Picture 44">
          <a:extLst>
            <a:ext uri="{FF2B5EF4-FFF2-40B4-BE49-F238E27FC236}">
              <a16:creationId xmlns:a16="http://schemas.microsoft.com/office/drawing/2014/main" id="{93059896-C1AC-8C9C-BC9C-F5D6A52F24C5}"/>
            </a:ext>
          </a:extLst>
        </xdr:cNvPr>
        <xdr:cNvPicPr>
          <a:picLocks noChangeAspect="1"/>
        </xdr:cNvPicPr>
      </xdr:nvPicPr>
      <xdr:blipFill>
        <a:blip xmlns:r="http://schemas.openxmlformats.org/officeDocument/2006/relationships" r:embed="rId13"/>
        <a:stretch>
          <a:fillRect/>
        </a:stretch>
      </xdr:blipFill>
      <xdr:spPr>
        <a:xfrm>
          <a:off x="13518250357" y="63944499"/>
          <a:ext cx="6604874" cy="2569309"/>
        </a:xfrm>
        <a:prstGeom prst="rect">
          <a:avLst/>
        </a:prstGeom>
      </xdr:spPr>
    </xdr:pic>
    <xdr:clientData/>
  </xdr:twoCellAnchor>
  <xdr:twoCellAnchor editAs="oneCell">
    <xdr:from>
      <xdr:col>9</xdr:col>
      <xdr:colOff>312462</xdr:colOff>
      <xdr:row>337</xdr:row>
      <xdr:rowOff>170960</xdr:rowOff>
    </xdr:from>
    <xdr:to>
      <xdr:col>12</xdr:col>
      <xdr:colOff>8793</xdr:colOff>
      <xdr:row>348</xdr:row>
      <xdr:rowOff>150447</xdr:rowOff>
    </xdr:to>
    <xdr:pic>
      <xdr:nvPicPr>
        <xdr:cNvPr id="46" name="Picture 45">
          <a:extLst>
            <a:ext uri="{FF2B5EF4-FFF2-40B4-BE49-F238E27FC236}">
              <a16:creationId xmlns:a16="http://schemas.microsoft.com/office/drawing/2014/main" id="{CED64FE4-10AE-3985-2D2D-6EC8B48EA2DE}"/>
            </a:ext>
          </a:extLst>
        </xdr:cNvPr>
        <xdr:cNvPicPr>
          <a:picLocks noChangeAspect="1"/>
        </xdr:cNvPicPr>
      </xdr:nvPicPr>
      <xdr:blipFill>
        <a:blip xmlns:r="http://schemas.openxmlformats.org/officeDocument/2006/relationships" r:embed="rId14"/>
        <a:stretch>
          <a:fillRect/>
        </a:stretch>
      </xdr:blipFill>
      <xdr:spPr>
        <a:xfrm>
          <a:off x="13515077207" y="67529806"/>
          <a:ext cx="2172831" cy="2236178"/>
        </a:xfrm>
        <a:prstGeom prst="rect">
          <a:avLst/>
        </a:prstGeom>
      </xdr:spPr>
    </xdr:pic>
    <xdr:clientData/>
  </xdr:twoCellAnchor>
  <xdr:twoCellAnchor>
    <xdr:from>
      <xdr:col>5</xdr:col>
      <xdr:colOff>722923</xdr:colOff>
      <xdr:row>349</xdr:row>
      <xdr:rowOff>122116</xdr:rowOff>
    </xdr:from>
    <xdr:to>
      <xdr:col>6</xdr:col>
      <xdr:colOff>312615</xdr:colOff>
      <xdr:row>349</xdr:row>
      <xdr:rowOff>122116</xdr:rowOff>
    </xdr:to>
    <xdr:cxnSp macro="">
      <xdr:nvCxnSpPr>
        <xdr:cNvPr id="48" name="Straight Connector 47">
          <a:extLst>
            <a:ext uri="{FF2B5EF4-FFF2-40B4-BE49-F238E27FC236}">
              <a16:creationId xmlns:a16="http://schemas.microsoft.com/office/drawing/2014/main" id="{E16FF07F-8625-38E8-0F94-1809F9E0EFBB}"/>
            </a:ext>
          </a:extLst>
        </xdr:cNvPr>
        <xdr:cNvCxnSpPr/>
      </xdr:nvCxnSpPr>
      <xdr:spPr>
        <a:xfrm flipH="1">
          <a:off x="13519726385" y="69942808"/>
          <a:ext cx="400538" cy="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288192</xdr:colOff>
      <xdr:row>349</xdr:row>
      <xdr:rowOff>122116</xdr:rowOff>
    </xdr:from>
    <xdr:to>
      <xdr:col>6</xdr:col>
      <xdr:colOff>293077</xdr:colOff>
      <xdr:row>351</xdr:row>
      <xdr:rowOff>200269</xdr:rowOff>
    </xdr:to>
    <xdr:cxnSp macro="">
      <xdr:nvCxnSpPr>
        <xdr:cNvPr id="50" name="Straight Connector 49">
          <a:extLst>
            <a:ext uri="{FF2B5EF4-FFF2-40B4-BE49-F238E27FC236}">
              <a16:creationId xmlns:a16="http://schemas.microsoft.com/office/drawing/2014/main" id="{BDE4258F-673C-D1F0-6C47-398712F0B772}"/>
            </a:ext>
          </a:extLst>
        </xdr:cNvPr>
        <xdr:cNvCxnSpPr/>
      </xdr:nvCxnSpPr>
      <xdr:spPr>
        <a:xfrm flipH="1" flipV="1">
          <a:off x="13519745923" y="69942808"/>
          <a:ext cx="4885" cy="4884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534</xdr:row>
      <xdr:rowOff>90713</xdr:rowOff>
    </xdr:from>
    <xdr:to>
      <xdr:col>9</xdr:col>
      <xdr:colOff>442686</xdr:colOff>
      <xdr:row>545</xdr:row>
      <xdr:rowOff>72319</xdr:rowOff>
    </xdr:to>
    <xdr:pic>
      <xdr:nvPicPr>
        <xdr:cNvPr id="59" name="Picture 58">
          <a:extLst>
            <a:ext uri="{FF2B5EF4-FFF2-40B4-BE49-F238E27FC236}">
              <a16:creationId xmlns:a16="http://schemas.microsoft.com/office/drawing/2014/main" id="{F0C12B36-A69B-FBD8-6871-F09993D3743B}"/>
            </a:ext>
          </a:extLst>
        </xdr:cNvPr>
        <xdr:cNvPicPr>
          <a:picLocks noChangeAspect="1"/>
        </xdr:cNvPicPr>
      </xdr:nvPicPr>
      <xdr:blipFill>
        <a:blip xmlns:r="http://schemas.openxmlformats.org/officeDocument/2006/relationships" r:embed="rId15"/>
        <a:stretch>
          <a:fillRect/>
        </a:stretch>
      </xdr:blipFill>
      <xdr:spPr>
        <a:xfrm>
          <a:off x="13566634695" y="108222142"/>
          <a:ext cx="7772400" cy="2243415"/>
        </a:xfrm>
        <a:prstGeom prst="rect">
          <a:avLst/>
        </a:prstGeom>
      </xdr:spPr>
    </xdr:pic>
    <xdr:clientData/>
  </xdr:twoCellAnchor>
  <xdr:twoCellAnchor>
    <xdr:from>
      <xdr:col>1</xdr:col>
      <xdr:colOff>189046</xdr:colOff>
      <xdr:row>554</xdr:row>
      <xdr:rowOff>96947</xdr:rowOff>
    </xdr:from>
    <xdr:to>
      <xdr:col>7</xdr:col>
      <xdr:colOff>222977</xdr:colOff>
      <xdr:row>554</xdr:row>
      <xdr:rowOff>101794</xdr:rowOff>
    </xdr:to>
    <xdr:cxnSp macro="">
      <xdr:nvCxnSpPr>
        <xdr:cNvPr id="61" name="Straight Arrow Connector 60">
          <a:extLst>
            <a:ext uri="{FF2B5EF4-FFF2-40B4-BE49-F238E27FC236}">
              <a16:creationId xmlns:a16="http://schemas.microsoft.com/office/drawing/2014/main" id="{48E2E479-98FA-0A38-F26B-80F01B972229}"/>
            </a:ext>
          </a:extLst>
        </xdr:cNvPr>
        <xdr:cNvCxnSpPr/>
      </xdr:nvCxnSpPr>
      <xdr:spPr>
        <a:xfrm flipV="1">
          <a:off x="13495175115" y="110252481"/>
          <a:ext cx="4871564" cy="484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504122</xdr:colOff>
      <xdr:row>562</xdr:row>
      <xdr:rowOff>29954</xdr:rowOff>
    </xdr:from>
    <xdr:ext cx="3204651" cy="254493"/>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𝐸</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𝑟_𝐸 (𝑎𝑛𝑛𝑢𝑎𝑙)=(1+12%)^(1/2.5)−1=</a:t>
              </a:r>
              <a:endParaRPr lang="en-US" sz="1100"/>
            </a:p>
          </xdr:txBody>
        </xdr:sp>
      </mc:Fallback>
    </mc:AlternateContent>
    <xdr:clientData/>
  </xdr:oneCellAnchor>
  <xdr:twoCellAnchor editAs="oneCell">
    <xdr:from>
      <xdr:col>0</xdr:col>
      <xdr:colOff>232672</xdr:colOff>
      <xdr:row>567</xdr:row>
      <xdr:rowOff>150267</xdr:rowOff>
    </xdr:from>
    <xdr:to>
      <xdr:col>9</xdr:col>
      <xdr:colOff>695301</xdr:colOff>
      <xdr:row>579</xdr:row>
      <xdr:rowOff>61234</xdr:rowOff>
    </xdr:to>
    <xdr:pic>
      <xdr:nvPicPr>
        <xdr:cNvPr id="63" name="Picture 62">
          <a:extLst>
            <a:ext uri="{FF2B5EF4-FFF2-40B4-BE49-F238E27FC236}">
              <a16:creationId xmlns:a16="http://schemas.microsoft.com/office/drawing/2014/main" id="{A253722C-58B1-AF77-0860-E6F23765097B}"/>
            </a:ext>
          </a:extLst>
        </xdr:cNvPr>
        <xdr:cNvPicPr>
          <a:picLocks noChangeAspect="1"/>
        </xdr:cNvPicPr>
      </xdr:nvPicPr>
      <xdr:blipFill>
        <a:blip xmlns:r="http://schemas.openxmlformats.org/officeDocument/2006/relationships" r:embed="rId16"/>
        <a:stretch>
          <a:fillRect/>
        </a:stretch>
      </xdr:blipFill>
      <xdr:spPr>
        <a:xfrm>
          <a:off x="13493054699" y="113970382"/>
          <a:ext cx="7772400" cy="2354021"/>
        </a:xfrm>
        <a:prstGeom prst="rect">
          <a:avLst/>
        </a:prstGeom>
      </xdr:spPr>
    </xdr:pic>
    <xdr:clientData/>
  </xdr:twoCellAnchor>
  <xdr:twoCellAnchor>
    <xdr:from>
      <xdr:col>8</xdr:col>
      <xdr:colOff>473212</xdr:colOff>
      <xdr:row>586</xdr:row>
      <xdr:rowOff>115956</xdr:rowOff>
    </xdr:from>
    <xdr:to>
      <xdr:col>10</xdr:col>
      <xdr:colOff>182217</xdr:colOff>
      <xdr:row>588</xdr:row>
      <xdr:rowOff>78776</xdr:rowOff>
    </xdr:to>
    <xdr:cxnSp macro="">
      <xdr:nvCxnSpPr>
        <xdr:cNvPr id="64" name="Straight Connector 63">
          <a:extLst>
            <a:ext uri="{FF2B5EF4-FFF2-40B4-BE49-F238E27FC236}">
              <a16:creationId xmlns:a16="http://schemas.microsoft.com/office/drawing/2014/main" id="{4A384EBA-4462-8FA1-956B-8C6FCA378717}"/>
            </a:ext>
          </a:extLst>
        </xdr:cNvPr>
        <xdr:cNvCxnSpPr/>
      </xdr:nvCxnSpPr>
      <xdr:spPr>
        <a:xfrm flipH="1" flipV="1">
          <a:off x="13561761261" y="118165217"/>
          <a:ext cx="1365527" cy="37142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10</xdr:col>
      <xdr:colOff>160772</xdr:colOff>
      <xdr:row>586</xdr:row>
      <xdr:rowOff>93869</xdr:rowOff>
    </xdr:from>
    <xdr:to>
      <xdr:col>11</xdr:col>
      <xdr:colOff>414130</xdr:colOff>
      <xdr:row>586</xdr:row>
      <xdr:rowOff>113568</xdr:rowOff>
    </xdr:to>
    <xdr:cxnSp macro="">
      <xdr:nvCxnSpPr>
        <xdr:cNvPr id="66" name="Straight Connector 65">
          <a:extLst>
            <a:ext uri="{FF2B5EF4-FFF2-40B4-BE49-F238E27FC236}">
              <a16:creationId xmlns:a16="http://schemas.microsoft.com/office/drawing/2014/main" id="{01B2E05B-D057-16F0-55A5-1F03A5752074}"/>
            </a:ext>
          </a:extLst>
        </xdr:cNvPr>
        <xdr:cNvCxnSpPr/>
      </xdr:nvCxnSpPr>
      <xdr:spPr>
        <a:xfrm flipH="1" flipV="1">
          <a:off x="13560701087" y="118143130"/>
          <a:ext cx="1081619" cy="196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97768</xdr:colOff>
      <xdr:row>689</xdr:row>
      <xdr:rowOff>145823</xdr:rowOff>
    </xdr:from>
    <xdr:to>
      <xdr:col>7</xdr:col>
      <xdr:colOff>669488</xdr:colOff>
      <xdr:row>702</xdr:row>
      <xdr:rowOff>16409</xdr:rowOff>
    </xdr:to>
    <xdr:pic>
      <xdr:nvPicPr>
        <xdr:cNvPr id="71" name="Picture 70">
          <a:extLst>
            <a:ext uri="{FF2B5EF4-FFF2-40B4-BE49-F238E27FC236}">
              <a16:creationId xmlns:a16="http://schemas.microsoft.com/office/drawing/2014/main" id="{F42C5CAC-2044-30D8-D5CF-D679326645CC}"/>
            </a:ext>
          </a:extLst>
        </xdr:cNvPr>
        <xdr:cNvPicPr>
          <a:picLocks noChangeAspect="1"/>
        </xdr:cNvPicPr>
      </xdr:nvPicPr>
      <xdr:blipFill>
        <a:blip xmlns:r="http://schemas.openxmlformats.org/officeDocument/2006/relationships" r:embed="rId17"/>
        <a:stretch>
          <a:fillRect/>
        </a:stretch>
      </xdr:blipFill>
      <xdr:spPr>
        <a:xfrm>
          <a:off x="13488641598" y="138344545"/>
          <a:ext cx="6227886" cy="2507966"/>
        </a:xfrm>
        <a:prstGeom prst="rect">
          <a:avLst/>
        </a:prstGeom>
      </xdr:spPr>
    </xdr:pic>
    <xdr:clientData/>
  </xdr:twoCellAnchor>
  <xdr:twoCellAnchor editAs="oneCell">
    <xdr:from>
      <xdr:col>9</xdr:col>
      <xdr:colOff>350164</xdr:colOff>
      <xdr:row>711</xdr:row>
      <xdr:rowOff>156240</xdr:rowOff>
    </xdr:from>
    <xdr:to>
      <xdr:col>15</xdr:col>
      <xdr:colOff>218220</xdr:colOff>
      <xdr:row>717</xdr:row>
      <xdr:rowOff>70863</xdr:rowOff>
    </xdr:to>
    <xdr:pic>
      <xdr:nvPicPr>
        <xdr:cNvPr id="72" name="Picture 71">
          <a:extLst>
            <a:ext uri="{FF2B5EF4-FFF2-40B4-BE49-F238E27FC236}">
              <a16:creationId xmlns:a16="http://schemas.microsoft.com/office/drawing/2014/main" id="{DBCE0276-809A-7FF5-2039-9E09DFBDE1DE}"/>
            </a:ext>
          </a:extLst>
        </xdr:cNvPr>
        <xdr:cNvPicPr>
          <a:picLocks noChangeAspect="1"/>
        </xdr:cNvPicPr>
      </xdr:nvPicPr>
      <xdr:blipFill>
        <a:blip xmlns:r="http://schemas.openxmlformats.org/officeDocument/2006/relationships" r:embed="rId18"/>
        <a:stretch>
          <a:fillRect/>
        </a:stretch>
      </xdr:blipFill>
      <xdr:spPr>
        <a:xfrm>
          <a:off x="13516668776" y="143451960"/>
          <a:ext cx="4822624" cy="1137586"/>
        </a:xfrm>
        <a:prstGeom prst="rect">
          <a:avLst/>
        </a:prstGeom>
      </xdr:spPr>
    </xdr:pic>
    <xdr:clientData/>
  </xdr:twoCellAnchor>
  <xdr:twoCellAnchor editAs="oneCell">
    <xdr:from>
      <xdr:col>6</xdr:col>
      <xdr:colOff>386749</xdr:colOff>
      <xdr:row>719</xdr:row>
      <xdr:rowOff>156791</xdr:rowOff>
    </xdr:from>
    <xdr:to>
      <xdr:col>15</xdr:col>
      <xdr:colOff>727297</xdr:colOff>
      <xdr:row>725</xdr:row>
      <xdr:rowOff>142455</xdr:rowOff>
    </xdr:to>
    <xdr:pic>
      <xdr:nvPicPr>
        <xdr:cNvPr id="73" name="Picture 72">
          <a:extLst>
            <a:ext uri="{FF2B5EF4-FFF2-40B4-BE49-F238E27FC236}">
              <a16:creationId xmlns:a16="http://schemas.microsoft.com/office/drawing/2014/main" id="{37ADA9D0-1B8C-3533-14CA-2A51C80A726E}"/>
            </a:ext>
          </a:extLst>
        </xdr:cNvPr>
        <xdr:cNvPicPr>
          <a:picLocks noChangeAspect="1"/>
        </xdr:cNvPicPr>
      </xdr:nvPicPr>
      <xdr:blipFill>
        <a:blip xmlns:r="http://schemas.openxmlformats.org/officeDocument/2006/relationships" r:embed="rId19"/>
        <a:stretch>
          <a:fillRect/>
        </a:stretch>
      </xdr:blipFill>
      <xdr:spPr>
        <a:xfrm>
          <a:off x="13516159699" y="145083128"/>
          <a:ext cx="7772400" cy="1208626"/>
        </a:xfrm>
        <a:prstGeom prst="rect">
          <a:avLst/>
        </a:prstGeom>
      </xdr:spPr>
    </xdr:pic>
    <xdr:clientData/>
  </xdr:twoCellAnchor>
  <xdr:oneCellAnchor>
    <xdr:from>
      <xdr:col>1</xdr:col>
      <xdr:colOff>752593</xdr:colOff>
      <xdr:row>720</xdr:row>
      <xdr:rowOff>75886</xdr:rowOff>
    </xdr:from>
    <xdr:ext cx="3196232" cy="173766"/>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1+21.551%</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∗(1+15%)</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(1+21.551%)=(1+</a:t>
              </a:r>
              <a:r>
                <a:rPr lang="en-US" sz="1100" b="0" i="0">
                  <a:latin typeface="Cambria Math" panose="02040503050406030204" pitchFamily="18" charset="0"/>
                </a:rPr>
                <a:t>𝑟_𝑟 )∗(1+15%)</a:t>
              </a:r>
              <a:endParaRPr lang="en-US" sz="1100"/>
            </a:p>
          </xdr:txBody>
        </xdr:sp>
      </mc:Fallback>
    </mc:AlternateContent>
    <xdr:clientData/>
  </xdr:oneCellAnchor>
  <xdr:oneCellAnchor>
    <xdr:from>
      <xdr:col>1</xdr:col>
      <xdr:colOff>742140</xdr:colOff>
      <xdr:row>722</xdr:row>
      <xdr:rowOff>154281</xdr:rowOff>
    </xdr:from>
    <xdr:ext cx="3196232" cy="328103"/>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oMath>
                </m:oMathPara>
              </a14:m>
              <a:endParaRPr lang="en-US" sz="1100"/>
            </a:p>
          </xdr:txBody>
        </xdr:sp>
      </mc:Choice>
      <mc:Fallback xmlns="">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1+𝑟_𝑟=(1+21.551%)/(1+15%)</a:t>
              </a:r>
              <a:endParaRPr lang="en-US" sz="1100"/>
            </a:p>
          </xdr:txBody>
        </xdr:sp>
      </mc:Fallback>
    </mc:AlternateContent>
    <xdr:clientData/>
  </xdr:oneCellAnchor>
  <xdr:oneCellAnchor>
    <xdr:from>
      <xdr:col>2</xdr:col>
      <xdr:colOff>386749</xdr:colOff>
      <xdr:row>725</xdr:row>
      <xdr:rowOff>133376</xdr:rowOff>
    </xdr:from>
    <xdr:ext cx="3196232" cy="328103"/>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r>
                      <a:rPr lang="en-US" sz="1100" b="0" i="0">
                        <a:latin typeface="Cambria Math" panose="02040503050406030204" pitchFamily="18" charset="0"/>
                      </a:rPr>
                      <m:t>−1=</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𝑟_𝑟=(1+21.551%)/(1+15%)−1=</a:t>
              </a:r>
              <a:endParaRPr lang="en-US" sz="1100"/>
            </a:p>
          </xdr:txBody>
        </xdr:sp>
      </mc:Fallback>
    </mc:AlternateContent>
    <xdr:clientData/>
  </xdr:oneCellAnchor>
  <xdr:twoCellAnchor editAs="oneCell">
    <xdr:from>
      <xdr:col>0</xdr:col>
      <xdr:colOff>15679</xdr:colOff>
      <xdr:row>729</xdr:row>
      <xdr:rowOff>20905</xdr:rowOff>
    </xdr:from>
    <xdr:to>
      <xdr:col>9</xdr:col>
      <xdr:colOff>465980</xdr:colOff>
      <xdr:row>742</xdr:row>
      <xdr:rowOff>144769</xdr:rowOff>
    </xdr:to>
    <xdr:pic>
      <xdr:nvPicPr>
        <xdr:cNvPr id="77" name="Picture 76">
          <a:extLst>
            <a:ext uri="{FF2B5EF4-FFF2-40B4-BE49-F238E27FC236}">
              <a16:creationId xmlns:a16="http://schemas.microsoft.com/office/drawing/2014/main" id="{82D5ABE1-2162-B684-4125-C0DC1CD1C85D}"/>
            </a:ext>
          </a:extLst>
        </xdr:cNvPr>
        <xdr:cNvPicPr>
          <a:picLocks noChangeAspect="1"/>
        </xdr:cNvPicPr>
      </xdr:nvPicPr>
      <xdr:blipFill>
        <a:blip xmlns:r="http://schemas.openxmlformats.org/officeDocument/2006/relationships" r:embed="rId20"/>
        <a:stretch>
          <a:fillRect/>
        </a:stretch>
      </xdr:blipFill>
      <xdr:spPr>
        <a:xfrm>
          <a:off x="13521375584" y="146985514"/>
          <a:ext cx="7772400" cy="2773618"/>
        </a:xfrm>
        <a:prstGeom prst="rect">
          <a:avLst/>
        </a:prstGeom>
      </xdr:spPr>
    </xdr:pic>
    <xdr:clientData/>
  </xdr:twoCellAnchor>
  <xdr:twoCellAnchor editAs="oneCell">
    <xdr:from>
      <xdr:col>0</xdr:col>
      <xdr:colOff>182921</xdr:colOff>
      <xdr:row>750</xdr:row>
      <xdr:rowOff>156790</xdr:rowOff>
    </xdr:from>
    <xdr:to>
      <xdr:col>9</xdr:col>
      <xdr:colOff>633222</xdr:colOff>
      <xdr:row>755</xdr:row>
      <xdr:rowOff>152277</xdr:rowOff>
    </xdr:to>
    <xdr:pic>
      <xdr:nvPicPr>
        <xdr:cNvPr id="78" name="Picture 77">
          <a:extLst>
            <a:ext uri="{FF2B5EF4-FFF2-40B4-BE49-F238E27FC236}">
              <a16:creationId xmlns:a16="http://schemas.microsoft.com/office/drawing/2014/main" id="{7767D0FD-73EC-16C3-B512-64F393CA905F}"/>
            </a:ext>
          </a:extLst>
        </xdr:cNvPr>
        <xdr:cNvPicPr>
          <a:picLocks noChangeAspect="1"/>
        </xdr:cNvPicPr>
      </xdr:nvPicPr>
      <xdr:blipFill>
        <a:blip xmlns:r="http://schemas.openxmlformats.org/officeDocument/2006/relationships" r:embed="rId21"/>
        <a:stretch>
          <a:fillRect/>
        </a:stretch>
      </xdr:blipFill>
      <xdr:spPr>
        <a:xfrm>
          <a:off x="13521208342" y="151401769"/>
          <a:ext cx="7772400" cy="1014623"/>
        </a:xfrm>
        <a:prstGeom prst="rect">
          <a:avLst/>
        </a:prstGeom>
      </xdr:spPr>
    </xdr:pic>
    <xdr:clientData/>
  </xdr:twoCellAnchor>
  <xdr:twoCellAnchor>
    <xdr:from>
      <xdr:col>6</xdr:col>
      <xdr:colOff>503295</xdr:colOff>
      <xdr:row>584</xdr:row>
      <xdr:rowOff>0</xdr:rowOff>
    </xdr:from>
    <xdr:to>
      <xdr:col>6</xdr:col>
      <xdr:colOff>799628</xdr:colOff>
      <xdr:row>585</xdr:row>
      <xdr:rowOff>37630</xdr:rowOff>
    </xdr:to>
    <xdr:sp macro="" textlink="">
      <xdr:nvSpPr>
        <xdr:cNvPr id="79" name="Rounded Rectangle 78">
          <a:extLst>
            <a:ext uri="{FF2B5EF4-FFF2-40B4-BE49-F238E27FC236}">
              <a16:creationId xmlns:a16="http://schemas.microsoft.com/office/drawing/2014/main" id="{4B5AA04E-B0E6-F752-3332-B701286E8128}"/>
            </a:ext>
          </a:extLst>
        </xdr:cNvPr>
        <xdr:cNvSpPr/>
      </xdr:nvSpPr>
      <xdr:spPr>
        <a:xfrm>
          <a:off x="13557758001" y="116510741"/>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10</xdr:col>
      <xdr:colOff>333962</xdr:colOff>
      <xdr:row>584</xdr:row>
      <xdr:rowOff>183444</xdr:rowOff>
    </xdr:from>
    <xdr:to>
      <xdr:col>10</xdr:col>
      <xdr:colOff>630295</xdr:colOff>
      <xdr:row>586</xdr:row>
      <xdr:rowOff>18815</xdr:rowOff>
    </xdr:to>
    <xdr:sp macro="" textlink="">
      <xdr:nvSpPr>
        <xdr:cNvPr id="82" name="Rounded Rectangle 81">
          <a:extLst>
            <a:ext uri="{FF2B5EF4-FFF2-40B4-BE49-F238E27FC236}">
              <a16:creationId xmlns:a16="http://schemas.microsoft.com/office/drawing/2014/main" id="{C7FC34E6-88DD-2BEA-8471-894AD4D9DC0A}"/>
            </a:ext>
          </a:extLst>
        </xdr:cNvPr>
        <xdr:cNvSpPr/>
      </xdr:nvSpPr>
      <xdr:spPr>
        <a:xfrm>
          <a:off x="13554615927" y="116694185"/>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11</xdr:col>
      <xdr:colOff>410633</xdr:colOff>
      <xdr:row>586</xdr:row>
      <xdr:rowOff>81845</xdr:rowOff>
    </xdr:from>
    <xdr:to>
      <xdr:col>11</xdr:col>
      <xdr:colOff>413926</xdr:colOff>
      <xdr:row>587</xdr:row>
      <xdr:rowOff>174036</xdr:rowOff>
    </xdr:to>
    <xdr:cxnSp macro="">
      <xdr:nvCxnSpPr>
        <xdr:cNvPr id="83" name="Straight Connector 82">
          <a:extLst>
            <a:ext uri="{FF2B5EF4-FFF2-40B4-BE49-F238E27FC236}">
              <a16:creationId xmlns:a16="http://schemas.microsoft.com/office/drawing/2014/main" id="{8C9BF105-8E40-7451-B2B2-3408AA2016D8}"/>
            </a:ext>
          </a:extLst>
        </xdr:cNvPr>
        <xdr:cNvCxnSpPr/>
      </xdr:nvCxnSpPr>
      <xdr:spPr>
        <a:xfrm flipH="1">
          <a:off x="13554004444" y="116997104"/>
          <a:ext cx="3293" cy="294451"/>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590467</xdr:colOff>
      <xdr:row>20</xdr:row>
      <xdr:rowOff>197922</xdr:rowOff>
    </xdr:from>
    <xdr:to>
      <xdr:col>5</xdr:col>
      <xdr:colOff>593766</xdr:colOff>
      <xdr:row>21</xdr:row>
      <xdr:rowOff>178130</xdr:rowOff>
    </xdr:to>
    <xdr:cxnSp macro="">
      <xdr:nvCxnSpPr>
        <xdr:cNvPr id="86" name="Straight Arrow Connector 85">
          <a:extLst>
            <a:ext uri="{FF2B5EF4-FFF2-40B4-BE49-F238E27FC236}">
              <a16:creationId xmlns:a16="http://schemas.microsoft.com/office/drawing/2014/main" id="{D8794A0C-377F-B4A3-0F70-B69CC5B9A39E}"/>
            </a:ext>
          </a:extLst>
        </xdr:cNvPr>
        <xdr:cNvCxnSpPr/>
      </xdr:nvCxnSpPr>
      <xdr:spPr>
        <a:xfrm flipV="1">
          <a:off x="13506750182" y="4288312"/>
          <a:ext cx="3299" cy="18472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415464</xdr:colOff>
      <xdr:row>750</xdr:row>
      <xdr:rowOff>66096</xdr:rowOff>
    </xdr:from>
    <xdr:to>
      <xdr:col>8</xdr:col>
      <xdr:colOff>221895</xdr:colOff>
      <xdr:row>752</xdr:row>
      <xdr:rowOff>14164</xdr:rowOff>
    </xdr:to>
    <xdr:sp macro="" textlink="">
      <xdr:nvSpPr>
        <xdr:cNvPr id="88" name="Rounded Rectangular Callout 87">
          <a:extLst>
            <a:ext uri="{FF2B5EF4-FFF2-40B4-BE49-F238E27FC236}">
              <a16:creationId xmlns:a16="http://schemas.microsoft.com/office/drawing/2014/main" id="{72B507F1-E7AE-1B9B-12EC-A1239987A962}"/>
            </a:ext>
          </a:extLst>
        </xdr:cNvPr>
        <xdr:cNvSpPr/>
      </xdr:nvSpPr>
      <xdr:spPr>
        <a:xfrm>
          <a:off x="13529763235" y="152607732"/>
          <a:ext cx="1458848" cy="354090"/>
        </a:xfrm>
        <a:prstGeom prst="wedgeRoundRectCallout">
          <a:avLst>
            <a:gd name="adj1" fmla="val -54244"/>
            <a:gd name="adj2" fmla="val 632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a:t>
          </a:r>
          <a:r>
            <a:rPr lang="en-US" sz="1100"/>
            <a:t>PV</a:t>
          </a:r>
          <a:r>
            <a:rPr lang="he-IL" sz="1100"/>
            <a:t> של התקבולים</a:t>
          </a:r>
          <a:endParaRPr lang="en-US" sz="1100"/>
        </a:p>
      </xdr:txBody>
    </xdr:sp>
    <xdr:clientData/>
  </xdr:twoCellAnchor>
  <xdr:twoCellAnchor>
    <xdr:from>
      <xdr:col>6</xdr:col>
      <xdr:colOff>23606</xdr:colOff>
      <xdr:row>753</xdr:row>
      <xdr:rowOff>127472</xdr:rowOff>
    </xdr:from>
    <xdr:to>
      <xdr:col>8</xdr:col>
      <xdr:colOff>207731</xdr:colOff>
      <xdr:row>755</xdr:row>
      <xdr:rowOff>75540</xdr:rowOff>
    </xdr:to>
    <xdr:sp macro="" textlink="">
      <xdr:nvSpPr>
        <xdr:cNvPr id="89" name="Rounded Rectangular Callout 88">
          <a:extLst>
            <a:ext uri="{FF2B5EF4-FFF2-40B4-BE49-F238E27FC236}">
              <a16:creationId xmlns:a16="http://schemas.microsoft.com/office/drawing/2014/main" id="{3A161859-608E-174F-65D5-DF2A11C6E91D}"/>
            </a:ext>
          </a:extLst>
        </xdr:cNvPr>
        <xdr:cNvSpPr/>
      </xdr:nvSpPr>
      <xdr:spPr>
        <a:xfrm>
          <a:off x="13529777399" y="153278141"/>
          <a:ext cx="1836542" cy="354090"/>
        </a:xfrm>
        <a:prstGeom prst="wedgeRoundRectCallout">
          <a:avLst>
            <a:gd name="adj1" fmla="val -62658"/>
            <a:gd name="adj2" fmla="val 60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סכום ההשקעה, בערך מוחלט</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oneCellAnchor>
    <xdr:from>
      <xdr:col>1</xdr:col>
      <xdr:colOff>758964</xdr:colOff>
      <xdr:row>178</xdr:row>
      <xdr:rowOff>121435</xdr:rowOff>
    </xdr:from>
    <xdr:ext cx="2172647"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𝑟_𝑛=(1+𝑟)^𝑚−1</a:t>
              </a:r>
              <a:endParaRPr lang="en-US" sz="1100"/>
            </a:p>
          </xdr:txBody>
        </xdr:sp>
      </mc:Fallback>
    </mc:AlternateContent>
    <xdr:clientData/>
  </xdr:oneCellAnchor>
  <xdr:oneCellAnchor>
    <xdr:from>
      <xdr:col>1</xdr:col>
      <xdr:colOff>546455</xdr:colOff>
      <xdr:row>180</xdr:row>
      <xdr:rowOff>25299</xdr:rowOff>
    </xdr:from>
    <xdr:ext cx="2172647" cy="1772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m:t>
                            </m:r>
                          </m:e>
                        </m:d>
                      </m:e>
                      <m:sup>
                        <m:r>
                          <a:rPr lang="he-IL" sz="1100" b="0" i="1">
                            <a:latin typeface="Cambria Math" panose="02040503050406030204" pitchFamily="18" charset="0"/>
                          </a:rPr>
                          <m:t>3</m:t>
                        </m:r>
                      </m:sup>
                    </m:sSup>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1</xdr:col>
      <xdr:colOff>491430</xdr:colOff>
      <xdr:row>186</xdr:row>
      <xdr:rowOff>26008</xdr:rowOff>
    </xdr:from>
    <xdr:ext cx="3729130" cy="17376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(3 </m:t>
                    </m:r>
                    <m:r>
                      <a:rPr lang="en-US" sz="1100" b="0" i="1">
                        <a:latin typeface="Cambria Math" panose="02040503050406030204" pitchFamily="18" charset="0"/>
                        <a:ea typeface="Cambria Math" panose="02040503050406030204" pitchFamily="18" charset="0"/>
                      </a:rPr>
                      <m:t>𝑦𝑒𝑎𝑟𝑠</m:t>
                    </m:r>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1+3%</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m:t>
                        </m:r>
                      </m:e>
                    </m:d>
                    <m:r>
                      <a:rPr lang="en-US" sz="1100" b="0" i="1">
                        <a:latin typeface="Cambria Math" panose="02040503050406030204" pitchFamily="18" charset="0"/>
                      </a:rPr>
                      <m:t>−1=</m:t>
                    </m:r>
                  </m:oMath>
                </m:oMathPara>
              </a14:m>
              <a:endParaRPr lang="en-US" sz="1100"/>
            </a:p>
          </xdr:txBody>
        </xdr:sp>
      </mc:Choice>
      <mc:Fallback xmlns="">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(3 </a:t>
              </a:r>
              <a:r>
                <a:rPr lang="en-US" sz="1100" b="0" i="0">
                  <a:latin typeface="Cambria Math" panose="02040503050406030204" pitchFamily="18" charset="0"/>
                  <a:ea typeface="Cambria Math" panose="02040503050406030204" pitchFamily="18" charset="0"/>
                </a:rPr>
                <a:t>𝑦𝑒𝑎𝑟𝑠)</a:t>
              </a:r>
              <a:r>
                <a:rPr lang="he-IL"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(1+5%)∗(1+3%)∗(1+0%)−1=</a:t>
              </a:r>
              <a:endParaRPr lang="en-US" sz="1100"/>
            </a:p>
          </xdr:txBody>
        </xdr:sp>
      </mc:Fallback>
    </mc:AlternateContent>
    <xdr:clientData/>
  </xdr:oneCellAnchor>
  <xdr:oneCellAnchor>
    <xdr:from>
      <xdr:col>0</xdr:col>
      <xdr:colOff>1501636</xdr:colOff>
      <xdr:row>195</xdr:row>
      <xdr:rowOff>129375</xdr:rowOff>
    </xdr:from>
    <xdr:ext cx="2466321" cy="347659"/>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den>
                    </m:f>
                    <m:r>
                      <a:rPr lang="en-US" sz="1100" b="0" i="1">
                        <a:latin typeface="Cambria Math" panose="02040503050406030204" pitchFamily="18" charset="0"/>
                      </a:rPr>
                      <m:t>−1</m:t>
                    </m:r>
                  </m:oMath>
                </m:oMathPara>
              </a14:m>
              <a:endParaRPr lang="en-US" sz="1100"/>
            </a:p>
          </xdr:txBody>
        </xdr:sp>
      </mc:Choice>
      <mc:Fallback xmlns="">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𝑟_𝑟=(1+𝑟_𝑛)/(1+%𝑖𝑛𝑓𝑙𝑎𝑡𝑖𝑜𝑛)−1</a:t>
              </a:r>
              <a:endParaRPr lang="en-US" sz="1100"/>
            </a:p>
          </xdr:txBody>
        </xdr:sp>
      </mc:Fallback>
    </mc:AlternateContent>
    <xdr:clientData/>
  </xdr:oneCellAnchor>
  <xdr:oneCellAnchor>
    <xdr:from>
      <xdr:col>1</xdr:col>
      <xdr:colOff>528970</xdr:colOff>
      <xdr:row>198</xdr:row>
      <xdr:rowOff>150910</xdr:rowOff>
    </xdr:from>
    <xdr:ext cx="2466321" cy="328103"/>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(3</m:t>
                    </m:r>
                    <m:r>
                      <a:rPr lang="en-US" sz="1100" b="0" i="1">
                        <a:latin typeface="Cambria Math" panose="02040503050406030204" pitchFamily="18" charset="0"/>
                      </a:rPr>
                      <m:t>𝑦𝑒𝑎𝑟𝑠</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1+22.504%</m:t>
                        </m:r>
                      </m:num>
                      <m:den>
                        <m:r>
                          <a:rPr lang="en-US" sz="1100" b="0" i="1">
                            <a:latin typeface="Cambria Math" panose="02040503050406030204" pitchFamily="18" charset="0"/>
                          </a:rPr>
                          <m:t>1+8.15%</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(3𝑦𝑒𝑎𝑟𝑠)=(1+22.504%)/(1+8.15%)−1=</a:t>
              </a:r>
              <a:endParaRPr lang="en-US" sz="1100"/>
            </a:p>
          </xdr:txBody>
        </xdr:sp>
      </mc:Fallback>
    </mc:AlternateContent>
    <xdr:clientData/>
  </xdr:oneCellAnchor>
  <xdr:oneCellAnchor>
    <xdr:from>
      <xdr:col>1</xdr:col>
      <xdr:colOff>354182</xdr:colOff>
      <xdr:row>202</xdr:row>
      <xdr:rowOff>151794</xdr:rowOff>
    </xdr:from>
    <xdr:ext cx="2967030" cy="252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1+13.273%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(𝑎𝑛𝑛𝑢𝑎𝑙)=(1+13.273%)^(1/3)−1=</a:t>
              </a:r>
              <a:endParaRPr lang="en-US" sz="1100"/>
            </a:p>
          </xdr:txBody>
        </xdr:sp>
      </mc:Fallback>
    </mc:AlternateContent>
    <xdr:clientData/>
  </xdr:oneCellAnchor>
  <xdr:twoCellAnchor editAs="oneCell">
    <xdr:from>
      <xdr:col>0</xdr:col>
      <xdr:colOff>16282</xdr:colOff>
      <xdr:row>54</xdr:row>
      <xdr:rowOff>29011</xdr:rowOff>
    </xdr:from>
    <xdr:to>
      <xdr:col>7</xdr:col>
      <xdr:colOff>470996</xdr:colOff>
      <xdr:row>64</xdr:row>
      <xdr:rowOff>82262</xdr:rowOff>
    </xdr:to>
    <xdr:pic>
      <xdr:nvPicPr>
        <xdr:cNvPr id="8" name="Picture 7">
          <a:extLst>
            <a:ext uri="{FF2B5EF4-FFF2-40B4-BE49-F238E27FC236}">
              <a16:creationId xmlns:a16="http://schemas.microsoft.com/office/drawing/2014/main" id="{734A9593-A966-8C5F-8574-918EB184F68C}"/>
            </a:ext>
          </a:extLst>
        </xdr:cNvPr>
        <xdr:cNvPicPr>
          <a:picLocks noChangeAspect="1"/>
        </xdr:cNvPicPr>
      </xdr:nvPicPr>
      <xdr:blipFill>
        <a:blip xmlns:r="http://schemas.openxmlformats.org/officeDocument/2006/relationships" r:embed="rId1"/>
        <a:stretch>
          <a:fillRect/>
        </a:stretch>
      </xdr:blipFill>
      <xdr:spPr>
        <a:xfrm>
          <a:off x="13545280620" y="1038498"/>
          <a:ext cx="6371611" cy="2072226"/>
        </a:xfrm>
        <a:prstGeom prst="rect">
          <a:avLst/>
        </a:prstGeom>
      </xdr:spPr>
    </xdr:pic>
    <xdr:clientData/>
  </xdr:twoCellAnchor>
  <xdr:twoCellAnchor>
    <xdr:from>
      <xdr:col>5</xdr:col>
      <xdr:colOff>87086</xdr:colOff>
      <xdr:row>76</xdr:row>
      <xdr:rowOff>105229</xdr:rowOff>
    </xdr:from>
    <xdr:to>
      <xdr:col>5</xdr:col>
      <xdr:colOff>787400</xdr:colOff>
      <xdr:row>79</xdr:row>
      <xdr:rowOff>87086</xdr:rowOff>
    </xdr:to>
    <xdr:cxnSp macro="">
      <xdr:nvCxnSpPr>
        <xdr:cNvPr id="10" name="Straight Arrow Connector 9">
          <a:extLst>
            <a:ext uri="{FF2B5EF4-FFF2-40B4-BE49-F238E27FC236}">
              <a16:creationId xmlns:a16="http://schemas.microsoft.com/office/drawing/2014/main" id="{1CF97E78-1877-4277-FD1A-CA8667702DFC}"/>
            </a:ext>
          </a:extLst>
        </xdr:cNvPr>
        <xdr:cNvCxnSpPr/>
      </xdr:nvCxnSpPr>
      <xdr:spPr>
        <a:xfrm flipH="1">
          <a:off x="13549793286" y="5591629"/>
          <a:ext cx="700314" cy="591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89</xdr:row>
      <xdr:rowOff>83457</xdr:rowOff>
    </xdr:from>
    <xdr:to>
      <xdr:col>7</xdr:col>
      <xdr:colOff>644788</xdr:colOff>
      <xdr:row>93</xdr:row>
      <xdr:rowOff>43543</xdr:rowOff>
    </xdr:to>
    <xdr:pic>
      <xdr:nvPicPr>
        <xdr:cNvPr id="11" name="Picture 10">
          <a:extLst>
            <a:ext uri="{FF2B5EF4-FFF2-40B4-BE49-F238E27FC236}">
              <a16:creationId xmlns:a16="http://schemas.microsoft.com/office/drawing/2014/main" id="{29DB10BF-3B53-EE6C-D04C-FF46E43D9BB4}"/>
            </a:ext>
          </a:extLst>
        </xdr:cNvPr>
        <xdr:cNvPicPr>
          <a:picLocks noChangeAspect="1"/>
        </xdr:cNvPicPr>
      </xdr:nvPicPr>
      <xdr:blipFill>
        <a:blip xmlns:r="http://schemas.openxmlformats.org/officeDocument/2006/relationships" r:embed="rId2"/>
        <a:stretch>
          <a:fillRect/>
        </a:stretch>
      </xdr:blipFill>
      <xdr:spPr>
        <a:xfrm>
          <a:off x="13548281269" y="8211457"/>
          <a:ext cx="6562987" cy="772886"/>
        </a:xfrm>
        <a:prstGeom prst="rect">
          <a:avLst/>
        </a:prstGeom>
      </xdr:spPr>
    </xdr:pic>
    <xdr:clientData/>
  </xdr:twoCellAnchor>
  <xdr:oneCellAnchor>
    <xdr:from>
      <xdr:col>2</xdr:col>
      <xdr:colOff>780143</xdr:colOff>
      <xdr:row>98</xdr:row>
      <xdr:rowOff>185055</xdr:rowOff>
    </xdr:from>
    <xdr:ext cx="2822169" cy="30957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𝑠</m:t>
                                    </m:r>
                                  </m:sub>
                                </m:sSub>
                              </m:num>
                              <m:den>
                                <m:r>
                                  <a:rPr lang="en-US" sz="1100" b="0" i="1" kern="1200">
                                    <a:latin typeface="Cambria Math" panose="02040503050406030204" pitchFamily="18" charset="0"/>
                                  </a:rPr>
                                  <m:t>𝑚</m:t>
                                </m:r>
                              </m:den>
                            </m:f>
                          </m:e>
                        </m:d>
                      </m:e>
                      <m:sup>
                        <m:r>
                          <a:rPr lang="en-US" sz="1100" b="0" i="1" kern="1200">
                            <a:latin typeface="Cambria Math" panose="02040503050406030204" pitchFamily="18" charset="0"/>
                          </a:rPr>
                          <m:t>𝑛</m:t>
                        </m:r>
                      </m:sup>
                    </m:sSup>
                  </m:oMath>
                </m:oMathPara>
              </a14:m>
              <a:endParaRPr lang="en-US" sz="1100" kern="1200"/>
            </a:p>
          </xdr:txBody>
        </xdr:sp>
      </mc:Choice>
      <mc:Fallback xmlns="">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〖1+𝑟〗_𝑒=(1+𝑟_𝑠/𝑚)^𝑛</a:t>
              </a:r>
              <a:endParaRPr lang="en-US" sz="1100" kern="1200"/>
            </a:p>
          </xdr:txBody>
        </xdr:sp>
      </mc:Fallback>
    </mc:AlternateContent>
    <xdr:clientData/>
  </xdr:oneCellAnchor>
  <xdr:oneCellAnchor>
    <xdr:from>
      <xdr:col>2</xdr:col>
      <xdr:colOff>776515</xdr:colOff>
      <xdr:row>109</xdr:row>
      <xdr:rowOff>148770</xdr:rowOff>
    </xdr:from>
    <xdr:ext cx="2822169"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oMath>
                </m:oMathPara>
              </a14:m>
              <a:endParaRPr lang="en-US" sz="1100" kern="1200"/>
            </a:p>
          </xdr:txBody>
        </xdr:sp>
      </mc:Choice>
      <mc:Fallback xmlns="">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endParaRPr lang="en-US" sz="1100" kern="1200"/>
            </a:p>
          </xdr:txBody>
        </xdr:sp>
      </mc:Fallback>
    </mc:AlternateContent>
    <xdr:clientData/>
  </xdr:oneCellAnchor>
  <xdr:oneCellAnchor>
    <xdr:from>
      <xdr:col>2</xdr:col>
      <xdr:colOff>776515</xdr:colOff>
      <xdr:row>111</xdr:row>
      <xdr:rowOff>116113</xdr:rowOff>
    </xdr:from>
    <xdr:ext cx="2822169" cy="354328"/>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r>
                      <a:rPr lang="en-US" sz="1100" b="0" i="1" kern="1200">
                        <a:latin typeface="Cambria Math" panose="02040503050406030204" pitchFamily="18" charset="0"/>
                      </a:rPr>
                      <m:t>−1=19.25%</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−1=19.25%</a:t>
              </a:r>
              <a:endParaRPr lang="en-US" sz="1100" kern="1200"/>
            </a:p>
          </xdr:txBody>
        </xdr:sp>
      </mc:Fallback>
    </mc:AlternateContent>
    <xdr:clientData/>
  </xdr:oneCellAnchor>
  <xdr:twoCellAnchor editAs="oneCell">
    <xdr:from>
      <xdr:col>0</xdr:col>
      <xdr:colOff>0</xdr:colOff>
      <xdr:row>115</xdr:row>
      <xdr:rowOff>61687</xdr:rowOff>
    </xdr:from>
    <xdr:to>
      <xdr:col>7</xdr:col>
      <xdr:colOff>609600</xdr:colOff>
      <xdr:row>119</xdr:row>
      <xdr:rowOff>138739</xdr:rowOff>
    </xdr:to>
    <xdr:pic>
      <xdr:nvPicPr>
        <xdr:cNvPr id="15" name="Picture 14">
          <a:extLst>
            <a:ext uri="{FF2B5EF4-FFF2-40B4-BE49-F238E27FC236}">
              <a16:creationId xmlns:a16="http://schemas.microsoft.com/office/drawing/2014/main" id="{5B6375F4-61FD-8AB7-D1D1-AEB789A07516}"/>
            </a:ext>
          </a:extLst>
        </xdr:cNvPr>
        <xdr:cNvPicPr>
          <a:picLocks noChangeAspect="1"/>
        </xdr:cNvPicPr>
      </xdr:nvPicPr>
      <xdr:blipFill>
        <a:blip xmlns:r="http://schemas.openxmlformats.org/officeDocument/2006/relationships" r:embed="rId3"/>
        <a:stretch>
          <a:fillRect/>
        </a:stretch>
      </xdr:blipFill>
      <xdr:spPr>
        <a:xfrm>
          <a:off x="13548316457" y="13472887"/>
          <a:ext cx="6527800" cy="889852"/>
        </a:xfrm>
        <a:prstGeom prst="rect">
          <a:avLst/>
        </a:prstGeom>
      </xdr:spPr>
    </xdr:pic>
    <xdr:clientData/>
  </xdr:twoCellAnchor>
  <xdr:twoCellAnchor>
    <xdr:from>
      <xdr:col>1</xdr:col>
      <xdr:colOff>257629</xdr:colOff>
      <xdr:row>124</xdr:row>
      <xdr:rowOff>141514</xdr:rowOff>
    </xdr:from>
    <xdr:to>
      <xdr:col>7</xdr:col>
      <xdr:colOff>674914</xdr:colOff>
      <xdr:row>124</xdr:row>
      <xdr:rowOff>145143</xdr:rowOff>
    </xdr:to>
    <xdr:cxnSp macro="">
      <xdr:nvCxnSpPr>
        <xdr:cNvPr id="17" name="Straight Arrow Connector 16">
          <a:extLst>
            <a:ext uri="{FF2B5EF4-FFF2-40B4-BE49-F238E27FC236}">
              <a16:creationId xmlns:a16="http://schemas.microsoft.com/office/drawing/2014/main" id="{4B08CCCF-E016-EBA7-86C3-5A591DE7A69D}"/>
            </a:ext>
          </a:extLst>
        </xdr:cNvPr>
        <xdr:cNvCxnSpPr/>
      </xdr:nvCxnSpPr>
      <xdr:spPr>
        <a:xfrm>
          <a:off x="13548251143" y="15381514"/>
          <a:ext cx="5508171" cy="3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435430</xdr:colOff>
      <xdr:row>122</xdr:row>
      <xdr:rowOff>36286</xdr:rowOff>
    </xdr:from>
    <xdr:to>
      <xdr:col>6</xdr:col>
      <xdr:colOff>439058</xdr:colOff>
      <xdr:row>122</xdr:row>
      <xdr:rowOff>185059</xdr:rowOff>
    </xdr:to>
    <xdr:sp macro="" textlink="">
      <xdr:nvSpPr>
        <xdr:cNvPr id="20" name="Left Bracket 19">
          <a:extLst>
            <a:ext uri="{FF2B5EF4-FFF2-40B4-BE49-F238E27FC236}">
              <a16:creationId xmlns:a16="http://schemas.microsoft.com/office/drawing/2014/main" id="{20C59E5E-4A0A-BBEA-2248-50DF2D3686AF}"/>
            </a:ext>
          </a:extLst>
        </xdr:cNvPr>
        <xdr:cNvSpPr/>
      </xdr:nvSpPr>
      <xdr:spPr>
        <a:xfrm rot="5400000">
          <a:off x="13550145255" y="14115144"/>
          <a:ext cx="148773" cy="1658257"/>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xdr:from>
      <xdr:col>2</xdr:col>
      <xdr:colOff>424542</xdr:colOff>
      <xdr:row>122</xdr:row>
      <xdr:rowOff>32658</xdr:rowOff>
    </xdr:from>
    <xdr:to>
      <xdr:col>4</xdr:col>
      <xdr:colOff>377372</xdr:colOff>
      <xdr:row>122</xdr:row>
      <xdr:rowOff>185057</xdr:rowOff>
    </xdr:to>
    <xdr:sp macro="" textlink="">
      <xdr:nvSpPr>
        <xdr:cNvPr id="21" name="Left Bracket 20">
          <a:extLst>
            <a:ext uri="{FF2B5EF4-FFF2-40B4-BE49-F238E27FC236}">
              <a16:creationId xmlns:a16="http://schemas.microsoft.com/office/drawing/2014/main" id="{AC169BB9-0E0E-8C0C-DE87-97F2C9E96FED}"/>
            </a:ext>
          </a:extLst>
        </xdr:cNvPr>
        <xdr:cNvSpPr/>
      </xdr:nvSpPr>
      <xdr:spPr>
        <a:xfrm rot="5400000">
          <a:off x="13551834357" y="14153243"/>
          <a:ext cx="152399" cy="1607458"/>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editAs="oneCell">
    <xdr:from>
      <xdr:col>0</xdr:col>
      <xdr:colOff>7257</xdr:colOff>
      <xdr:row>215</xdr:row>
      <xdr:rowOff>181428</xdr:rowOff>
    </xdr:from>
    <xdr:to>
      <xdr:col>7</xdr:col>
      <xdr:colOff>511874</xdr:colOff>
      <xdr:row>225</xdr:row>
      <xdr:rowOff>10885</xdr:rowOff>
    </xdr:to>
    <xdr:pic>
      <xdr:nvPicPr>
        <xdr:cNvPr id="23" name="Picture 22">
          <a:extLst>
            <a:ext uri="{FF2B5EF4-FFF2-40B4-BE49-F238E27FC236}">
              <a16:creationId xmlns:a16="http://schemas.microsoft.com/office/drawing/2014/main" id="{F589613B-6461-0E49-8043-A8EA83BA3C0F}"/>
            </a:ext>
          </a:extLst>
        </xdr:cNvPr>
        <xdr:cNvPicPr>
          <a:picLocks noChangeAspect="1"/>
        </xdr:cNvPicPr>
      </xdr:nvPicPr>
      <xdr:blipFill>
        <a:blip xmlns:r="http://schemas.openxmlformats.org/officeDocument/2006/relationships" r:embed="rId4"/>
        <a:stretch>
          <a:fillRect/>
        </a:stretch>
      </xdr:blipFill>
      <xdr:spPr>
        <a:xfrm>
          <a:off x="13548414183" y="31532285"/>
          <a:ext cx="6422817" cy="1861457"/>
        </a:xfrm>
        <a:prstGeom prst="rect">
          <a:avLst/>
        </a:prstGeom>
      </xdr:spPr>
    </xdr:pic>
    <xdr:clientData/>
  </xdr:twoCellAnchor>
  <xdr:twoCellAnchor>
    <xdr:from>
      <xdr:col>4</xdr:col>
      <xdr:colOff>415494</xdr:colOff>
      <xdr:row>235</xdr:row>
      <xdr:rowOff>101914</xdr:rowOff>
    </xdr:from>
    <xdr:to>
      <xdr:col>5</xdr:col>
      <xdr:colOff>31358</xdr:colOff>
      <xdr:row>235</xdr:row>
      <xdr:rowOff>105833</xdr:rowOff>
    </xdr:to>
    <xdr:cxnSp macro="">
      <xdr:nvCxnSpPr>
        <xdr:cNvPr id="25" name="Straight Connector 24">
          <a:extLst>
            <a:ext uri="{FF2B5EF4-FFF2-40B4-BE49-F238E27FC236}">
              <a16:creationId xmlns:a16="http://schemas.microsoft.com/office/drawing/2014/main" id="{A21FFA2F-5ECD-5592-23CA-45B94CE750C5}"/>
            </a:ext>
          </a:extLst>
        </xdr:cNvPr>
        <xdr:cNvCxnSpPr/>
      </xdr:nvCxnSpPr>
      <xdr:spPr>
        <a:xfrm>
          <a:off x="13546588272" y="35614877"/>
          <a:ext cx="442932" cy="39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411574</xdr:colOff>
      <xdr:row>235</xdr:row>
      <xdr:rowOff>105834</xdr:rowOff>
    </xdr:from>
    <xdr:to>
      <xdr:col>4</xdr:col>
      <xdr:colOff>415494</xdr:colOff>
      <xdr:row>240</xdr:row>
      <xdr:rowOff>43117</xdr:rowOff>
    </xdr:to>
    <xdr:cxnSp macro="">
      <xdr:nvCxnSpPr>
        <xdr:cNvPr id="26" name="Straight Connector 25">
          <a:extLst>
            <a:ext uri="{FF2B5EF4-FFF2-40B4-BE49-F238E27FC236}">
              <a16:creationId xmlns:a16="http://schemas.microsoft.com/office/drawing/2014/main" id="{83D3F0CE-476E-2BB4-3B16-3D894B0A7689}"/>
            </a:ext>
          </a:extLst>
        </xdr:cNvPr>
        <xdr:cNvCxnSpPr/>
      </xdr:nvCxnSpPr>
      <xdr:spPr>
        <a:xfrm flipH="1">
          <a:off x="13547031204" y="35618797"/>
          <a:ext cx="3920" cy="9564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256</xdr:row>
      <xdr:rowOff>86234</xdr:rowOff>
    </xdr:from>
    <xdr:to>
      <xdr:col>6</xdr:col>
      <xdr:colOff>493890</xdr:colOff>
      <xdr:row>264</xdr:row>
      <xdr:rowOff>179712</xdr:rowOff>
    </xdr:to>
    <xdr:pic>
      <xdr:nvPicPr>
        <xdr:cNvPr id="28" name="Picture 27">
          <a:extLst>
            <a:ext uri="{FF2B5EF4-FFF2-40B4-BE49-F238E27FC236}">
              <a16:creationId xmlns:a16="http://schemas.microsoft.com/office/drawing/2014/main" id="{7C0908EB-1A0B-13DF-6C8A-B3F1737C1C47}"/>
            </a:ext>
          </a:extLst>
        </xdr:cNvPr>
        <xdr:cNvPicPr>
          <a:picLocks noChangeAspect="1"/>
        </xdr:cNvPicPr>
      </xdr:nvPicPr>
      <xdr:blipFill>
        <a:blip xmlns:r="http://schemas.openxmlformats.org/officeDocument/2006/relationships" r:embed="rId5"/>
        <a:stretch>
          <a:fillRect/>
        </a:stretch>
      </xdr:blipFill>
      <xdr:spPr>
        <a:xfrm>
          <a:off x="13545298672" y="39879567"/>
          <a:ext cx="5507253" cy="1724095"/>
        </a:xfrm>
        <a:prstGeom prst="rect">
          <a:avLst/>
        </a:prstGeom>
      </xdr:spPr>
    </xdr:pic>
    <xdr:clientData/>
  </xdr:twoCellAnchor>
  <xdr:twoCellAnchor editAs="oneCell">
    <xdr:from>
      <xdr:col>0</xdr:col>
      <xdr:colOff>0</xdr:colOff>
      <xdr:row>280</xdr:row>
      <xdr:rowOff>43118</xdr:rowOff>
    </xdr:from>
    <xdr:to>
      <xdr:col>7</xdr:col>
      <xdr:colOff>729075</xdr:colOff>
      <xdr:row>290</xdr:row>
      <xdr:rowOff>35990</xdr:rowOff>
    </xdr:to>
    <xdr:pic>
      <xdr:nvPicPr>
        <xdr:cNvPr id="29" name="Picture 28">
          <a:extLst>
            <a:ext uri="{FF2B5EF4-FFF2-40B4-BE49-F238E27FC236}">
              <a16:creationId xmlns:a16="http://schemas.microsoft.com/office/drawing/2014/main" id="{9F626E73-4A17-69EE-9946-77223156FE9C}"/>
            </a:ext>
          </a:extLst>
        </xdr:cNvPr>
        <xdr:cNvPicPr>
          <a:picLocks noChangeAspect="1"/>
        </xdr:cNvPicPr>
      </xdr:nvPicPr>
      <xdr:blipFill>
        <a:blip xmlns:r="http://schemas.openxmlformats.org/officeDocument/2006/relationships" r:embed="rId6"/>
        <a:stretch>
          <a:fillRect/>
        </a:stretch>
      </xdr:blipFill>
      <xdr:spPr>
        <a:xfrm>
          <a:off x="13544161944" y="44728303"/>
          <a:ext cx="6643982" cy="2031144"/>
        </a:xfrm>
        <a:prstGeom prst="rect">
          <a:avLst/>
        </a:prstGeom>
      </xdr:spPr>
    </xdr:pic>
    <xdr:clientData/>
  </xdr:twoCellAnchor>
  <xdr:twoCellAnchor editAs="oneCell">
    <xdr:from>
      <xdr:col>0</xdr:col>
      <xdr:colOff>0</xdr:colOff>
      <xdr:row>301</xdr:row>
      <xdr:rowOff>204107</xdr:rowOff>
    </xdr:from>
    <xdr:to>
      <xdr:col>5</xdr:col>
      <xdr:colOff>741913</xdr:colOff>
      <xdr:row>309</xdr:row>
      <xdr:rowOff>90734</xdr:rowOff>
    </xdr:to>
    <xdr:pic>
      <xdr:nvPicPr>
        <xdr:cNvPr id="30" name="Picture 29">
          <a:extLst>
            <a:ext uri="{FF2B5EF4-FFF2-40B4-BE49-F238E27FC236}">
              <a16:creationId xmlns:a16="http://schemas.microsoft.com/office/drawing/2014/main" id="{8E433B54-DCDB-BEB5-A8E9-D813E2C26BE8}"/>
            </a:ext>
          </a:extLst>
        </xdr:cNvPr>
        <xdr:cNvPicPr>
          <a:picLocks noChangeAspect="1"/>
        </xdr:cNvPicPr>
      </xdr:nvPicPr>
      <xdr:blipFill>
        <a:blip xmlns:r="http://schemas.openxmlformats.org/officeDocument/2006/relationships" r:embed="rId7"/>
        <a:stretch>
          <a:fillRect/>
        </a:stretch>
      </xdr:blipFill>
      <xdr:spPr>
        <a:xfrm>
          <a:off x="13530810026" y="49649872"/>
          <a:ext cx="4921250" cy="1519484"/>
        </a:xfrm>
        <a:prstGeom prst="rect">
          <a:avLst/>
        </a:prstGeom>
      </xdr:spPr>
    </xdr:pic>
    <xdr:clientData/>
  </xdr:twoCellAnchor>
  <xdr:twoCellAnchor editAs="oneCell">
    <xdr:from>
      <xdr:col>0</xdr:col>
      <xdr:colOff>0</xdr:colOff>
      <xdr:row>3</xdr:row>
      <xdr:rowOff>16424</xdr:rowOff>
    </xdr:from>
    <xdr:to>
      <xdr:col>7</xdr:col>
      <xdr:colOff>503365</xdr:colOff>
      <xdr:row>13</xdr:row>
      <xdr:rowOff>1</xdr:rowOff>
    </xdr:to>
    <xdr:pic>
      <xdr:nvPicPr>
        <xdr:cNvPr id="9" name="Picture 8">
          <a:extLst>
            <a:ext uri="{FF2B5EF4-FFF2-40B4-BE49-F238E27FC236}">
              <a16:creationId xmlns:a16="http://schemas.microsoft.com/office/drawing/2014/main" id="{37DDF41E-EE55-3336-C9C5-5159FFFB09BA}"/>
            </a:ext>
          </a:extLst>
        </xdr:cNvPr>
        <xdr:cNvPicPr>
          <a:picLocks noChangeAspect="1"/>
        </xdr:cNvPicPr>
      </xdr:nvPicPr>
      <xdr:blipFill>
        <a:blip xmlns:r="http://schemas.openxmlformats.org/officeDocument/2006/relationships" r:embed="rId8"/>
        <a:stretch>
          <a:fillRect/>
        </a:stretch>
      </xdr:blipFill>
      <xdr:spPr>
        <a:xfrm>
          <a:off x="13536640126" y="624053"/>
          <a:ext cx="6415434" cy="2009008"/>
        </a:xfrm>
        <a:prstGeom prst="rect">
          <a:avLst/>
        </a:prstGeom>
      </xdr:spPr>
    </xdr:pic>
    <xdr:clientData/>
  </xdr:twoCellAnchor>
  <xdr:twoCellAnchor>
    <xdr:from>
      <xdr:col>0</xdr:col>
      <xdr:colOff>405086</xdr:colOff>
      <xdr:row>16</xdr:row>
      <xdr:rowOff>104008</xdr:rowOff>
    </xdr:from>
    <xdr:to>
      <xdr:col>7</xdr:col>
      <xdr:colOff>520042</xdr:colOff>
      <xdr:row>16</xdr:row>
      <xdr:rowOff>114956</xdr:rowOff>
    </xdr:to>
    <xdr:cxnSp macro="">
      <xdr:nvCxnSpPr>
        <xdr:cNvPr id="18" name="Straight Arrow Connector 17">
          <a:extLst>
            <a:ext uri="{FF2B5EF4-FFF2-40B4-BE49-F238E27FC236}">
              <a16:creationId xmlns:a16="http://schemas.microsoft.com/office/drawing/2014/main" id="{9EFE8E9D-D879-E07C-1929-240473F0CB20}"/>
            </a:ext>
          </a:extLst>
        </xdr:cNvPr>
        <xdr:cNvCxnSpPr/>
      </xdr:nvCxnSpPr>
      <xdr:spPr>
        <a:xfrm>
          <a:off x="13536623449" y="3344698"/>
          <a:ext cx="6027025" cy="109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366767</xdr:colOff>
      <xdr:row>16</xdr:row>
      <xdr:rowOff>38317</xdr:rowOff>
    </xdr:from>
    <xdr:to>
      <xdr:col>6</xdr:col>
      <xdr:colOff>454353</xdr:colOff>
      <xdr:row>17</xdr:row>
      <xdr:rowOff>120429</xdr:rowOff>
    </xdr:to>
    <xdr:sp macro="" textlink="">
      <xdr:nvSpPr>
        <xdr:cNvPr id="19" name="Left Brace 18">
          <a:extLst>
            <a:ext uri="{FF2B5EF4-FFF2-40B4-BE49-F238E27FC236}">
              <a16:creationId xmlns:a16="http://schemas.microsoft.com/office/drawing/2014/main" id="{A4DB49DD-A4D8-AF02-E562-2F58441184A4}"/>
            </a:ext>
          </a:extLst>
        </xdr:cNvPr>
        <xdr:cNvSpPr/>
      </xdr:nvSpPr>
      <xdr:spPr>
        <a:xfrm rot="16200000">
          <a:off x="13537907134" y="2964244"/>
          <a:ext cx="284655" cy="9141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175171</xdr:colOff>
      <xdr:row>16</xdr:row>
      <xdr:rowOff>32843</xdr:rowOff>
    </xdr:from>
    <xdr:to>
      <xdr:col>4</xdr:col>
      <xdr:colOff>476248</xdr:colOff>
      <xdr:row>17</xdr:row>
      <xdr:rowOff>104008</xdr:rowOff>
    </xdr:to>
    <xdr:sp macro="" textlink="">
      <xdr:nvSpPr>
        <xdr:cNvPr id="22" name="Left Brace 21">
          <a:extLst>
            <a:ext uri="{FF2B5EF4-FFF2-40B4-BE49-F238E27FC236}">
              <a16:creationId xmlns:a16="http://schemas.microsoft.com/office/drawing/2014/main" id="{96D4BAD7-7A08-FBE1-5B37-CC681DF022C5}"/>
            </a:ext>
          </a:extLst>
        </xdr:cNvPr>
        <xdr:cNvSpPr/>
      </xdr:nvSpPr>
      <xdr:spPr>
        <a:xfrm rot="16200000">
          <a:off x="13539650647" y="2846551"/>
          <a:ext cx="273708" cy="11276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448879</xdr:colOff>
      <xdr:row>14</xdr:row>
      <xdr:rowOff>60141</xdr:rowOff>
    </xdr:from>
    <xdr:to>
      <xdr:col>5</xdr:col>
      <xdr:colOff>322974</xdr:colOff>
      <xdr:row>15</xdr:row>
      <xdr:rowOff>16422</xdr:rowOff>
    </xdr:to>
    <xdr:sp macro="" textlink="">
      <xdr:nvSpPr>
        <xdr:cNvPr id="24" name="Freeform 23">
          <a:extLst>
            <a:ext uri="{FF2B5EF4-FFF2-40B4-BE49-F238E27FC236}">
              <a16:creationId xmlns:a16="http://schemas.microsoft.com/office/drawing/2014/main" id="{9066BB25-9A01-38B7-E304-9AE8DAC48C24}"/>
            </a:ext>
          </a:extLst>
        </xdr:cNvPr>
        <xdr:cNvSpPr/>
      </xdr:nvSpPr>
      <xdr:spPr>
        <a:xfrm>
          <a:off x="13538550345" y="2895744"/>
          <a:ext cx="700689" cy="158825"/>
        </a:xfrm>
        <a:custGeom>
          <a:avLst/>
          <a:gdLst>
            <a:gd name="connsiteX0" fmla="*/ 700689 w 700689"/>
            <a:gd name="connsiteY0" fmla="*/ 142403 h 158825"/>
            <a:gd name="connsiteX1" fmla="*/ 437931 w 700689"/>
            <a:gd name="connsiteY1" fmla="*/ 75 h 158825"/>
            <a:gd name="connsiteX2" fmla="*/ 0 w 700689"/>
            <a:gd name="connsiteY2" fmla="*/ 158825 h 158825"/>
          </a:gdLst>
          <a:ahLst/>
          <a:cxnLst>
            <a:cxn ang="0">
              <a:pos x="connsiteX0" y="connsiteY0"/>
            </a:cxn>
            <a:cxn ang="0">
              <a:pos x="connsiteX1" y="connsiteY1"/>
            </a:cxn>
            <a:cxn ang="0">
              <a:pos x="connsiteX2" y="connsiteY2"/>
            </a:cxn>
          </a:cxnLst>
          <a:rect l="l" t="t" r="r" b="b"/>
          <a:pathLst>
            <a:path w="700689" h="158825">
              <a:moveTo>
                <a:pt x="700689" y="142403"/>
              </a:moveTo>
              <a:cubicBezTo>
                <a:pt x="627700" y="69870"/>
                <a:pt x="554712" y="-2662"/>
                <a:pt x="437931" y="75"/>
              </a:cubicBezTo>
              <a:cubicBezTo>
                <a:pt x="321150" y="2812"/>
                <a:pt x="160575" y="80818"/>
                <a:pt x="0" y="1588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717111</xdr:colOff>
      <xdr:row>34</xdr:row>
      <xdr:rowOff>153275</xdr:rowOff>
    </xdr:from>
    <xdr:to>
      <xdr:col>5</xdr:col>
      <xdr:colOff>71164</xdr:colOff>
      <xdr:row>36</xdr:row>
      <xdr:rowOff>71164</xdr:rowOff>
    </xdr:to>
    <xdr:cxnSp macro="">
      <xdr:nvCxnSpPr>
        <xdr:cNvPr id="31" name="Straight Arrow Connector 30">
          <a:extLst>
            <a:ext uri="{FF2B5EF4-FFF2-40B4-BE49-F238E27FC236}">
              <a16:creationId xmlns:a16="http://schemas.microsoft.com/office/drawing/2014/main" id="{E5660FD3-ADA9-E1F5-A1DA-628F2A709394}"/>
            </a:ext>
          </a:extLst>
        </xdr:cNvPr>
        <xdr:cNvCxnSpPr/>
      </xdr:nvCxnSpPr>
      <xdr:spPr>
        <a:xfrm>
          <a:off x="13538802155" y="7039741"/>
          <a:ext cx="180647" cy="3229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596681</xdr:colOff>
      <xdr:row>34</xdr:row>
      <xdr:rowOff>98534</xdr:rowOff>
    </xdr:from>
    <xdr:to>
      <xdr:col>4</xdr:col>
      <xdr:colOff>98535</xdr:colOff>
      <xdr:row>34</xdr:row>
      <xdr:rowOff>98534</xdr:rowOff>
    </xdr:to>
    <xdr:cxnSp macro="">
      <xdr:nvCxnSpPr>
        <xdr:cNvPr id="32" name="Straight Arrow Connector 31">
          <a:extLst>
            <a:ext uri="{FF2B5EF4-FFF2-40B4-BE49-F238E27FC236}">
              <a16:creationId xmlns:a16="http://schemas.microsoft.com/office/drawing/2014/main" id="{7A06C24B-AA12-3613-CF75-8EC7C64AE7FF}"/>
            </a:ext>
          </a:extLst>
        </xdr:cNvPr>
        <xdr:cNvCxnSpPr/>
      </xdr:nvCxnSpPr>
      <xdr:spPr>
        <a:xfrm>
          <a:off x="13539601378" y="6985000"/>
          <a:ext cx="32844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147801</xdr:colOff>
      <xdr:row>160</xdr:row>
      <xdr:rowOff>43793</xdr:rowOff>
    </xdr:from>
    <xdr:to>
      <xdr:col>7</xdr:col>
      <xdr:colOff>457338</xdr:colOff>
      <xdr:row>169</xdr:row>
      <xdr:rowOff>21896</xdr:rowOff>
    </xdr:to>
    <xdr:pic>
      <xdr:nvPicPr>
        <xdr:cNvPr id="34" name="Picture 33">
          <a:extLst>
            <a:ext uri="{FF2B5EF4-FFF2-40B4-BE49-F238E27FC236}">
              <a16:creationId xmlns:a16="http://schemas.microsoft.com/office/drawing/2014/main" id="{F29EF53B-FEEB-006B-E14E-586EF99E31A9}"/>
            </a:ext>
          </a:extLst>
        </xdr:cNvPr>
        <xdr:cNvPicPr>
          <a:picLocks noChangeAspect="1"/>
        </xdr:cNvPicPr>
      </xdr:nvPicPr>
      <xdr:blipFill>
        <a:blip xmlns:r="http://schemas.openxmlformats.org/officeDocument/2006/relationships" r:embed="rId9"/>
        <a:stretch>
          <a:fillRect/>
        </a:stretch>
      </xdr:blipFill>
      <xdr:spPr>
        <a:xfrm>
          <a:off x="13536686153" y="32472586"/>
          <a:ext cx="6221606" cy="180099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3</xdr:col>
      <xdr:colOff>588669</xdr:colOff>
      <xdr:row>16</xdr:row>
      <xdr:rowOff>117842</xdr:rowOff>
    </xdr:from>
    <xdr:ext cx="1626836" cy="34015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637727</xdr:colOff>
      <xdr:row>18</xdr:row>
      <xdr:rowOff>117842</xdr:rowOff>
    </xdr:from>
    <xdr:ext cx="2362673" cy="3543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20%</m:t>
                                </m:r>
                              </m:num>
                              <m:den>
                                <m:r>
                                  <a:rPr lang="he-IL" sz="1100" b="0" i="1">
                                    <a:latin typeface="Cambria Math" panose="02040503050406030204" pitchFamily="18" charset="0"/>
                                  </a:rPr>
                                  <m:t>4</m:t>
                                </m:r>
                              </m:den>
                            </m:f>
                          </m:e>
                        </m:d>
                      </m:e>
                      <m:sup>
                        <m:r>
                          <a:rPr lang="he-IL" sz="1100" b="0" i="1">
                            <a:latin typeface="Cambria Math" panose="02040503050406030204" pitchFamily="18" charset="0"/>
                          </a:rPr>
                          <m:t>4</m:t>
                        </m:r>
                      </m:sup>
                    </m:sSup>
                    <m:r>
                      <a:rPr lang="en-US" sz="1100" b="0" i="1">
                        <a:latin typeface="Cambria Math" panose="02040503050406030204" pitchFamily="18" charset="0"/>
                      </a:rPr>
                      <m:t>−1</m:t>
                    </m:r>
                    <m:r>
                      <a:rPr lang="he-IL" sz="1100" b="0" i="1">
                        <a:latin typeface="Cambria Math" panose="02040503050406030204" pitchFamily="18" charset="0"/>
                      </a:rPr>
                      <m:t>=21.55%</m:t>
                    </m:r>
                  </m:oMath>
                </m:oMathPara>
              </a14:m>
              <a:endParaRPr lang="en-US" sz="1100"/>
            </a:p>
          </xdr:txBody>
        </xdr:sp>
      </mc:Choice>
      <mc:Fallback xmlns="">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(20%)/4)</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−1</a:t>
              </a:r>
              <a:r>
                <a:rPr lang="he-IL" sz="1100" b="0" i="0">
                  <a:latin typeface="Cambria Math" panose="02040503050406030204" pitchFamily="18" charset="0"/>
                </a:rPr>
                <a:t>=21.55%</a:t>
              </a:r>
              <a:endParaRPr lang="en-US" sz="1100"/>
            </a:p>
          </xdr:txBody>
        </xdr:sp>
      </mc:Fallback>
    </mc:AlternateContent>
    <xdr:clientData/>
  </xdr:oneCellAnchor>
  <xdr:oneCellAnchor>
    <xdr:from>
      <xdr:col>2</xdr:col>
      <xdr:colOff>327040</xdr:colOff>
      <xdr:row>25</xdr:row>
      <xdr:rowOff>30631</xdr:rowOff>
    </xdr:from>
    <xdr:ext cx="2362673" cy="35432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19%</m:t>
                                </m:r>
                              </m:num>
                              <m:den>
                                <m:r>
                                  <a:rPr lang="he-IL" sz="1100" b="0" i="1">
                                    <a:latin typeface="Cambria Math" panose="02040503050406030204" pitchFamily="18" charset="0"/>
                                  </a:rPr>
                                  <m:t>12</m:t>
                                </m:r>
                              </m:den>
                            </m:f>
                          </m:e>
                        </m:d>
                      </m:e>
                      <m:sup>
                        <m:r>
                          <a:rPr lang="he-IL" sz="1100" b="0" i="1">
                            <a:latin typeface="Cambria Math" panose="02040503050406030204" pitchFamily="18" charset="0"/>
                          </a:rPr>
                          <m:t>12</m:t>
                        </m:r>
                      </m:sup>
                    </m:sSup>
                    <m:r>
                      <a:rPr lang="en-US" sz="1100" b="0" i="1">
                        <a:latin typeface="Cambria Math" panose="02040503050406030204" pitchFamily="18" charset="0"/>
                      </a:rPr>
                      <m:t>−1</m:t>
                    </m:r>
                    <m:r>
                      <a:rPr lang="he-IL" sz="1100" b="0" i="1">
                        <a:latin typeface="Cambria Math" panose="02040503050406030204" pitchFamily="18" charset="0"/>
                      </a:rPr>
                      <m:t>=20.75%</m:t>
                    </m:r>
                  </m:oMath>
                </m:oMathPara>
              </a14:m>
              <a:endParaRPr lang="en-US" sz="1100"/>
            </a:p>
          </xdr:txBody>
        </xdr:sp>
      </mc:Choice>
      <mc:Fallback xmlns="">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(19%)/12)</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=20.75%</a:t>
              </a:r>
              <a:endParaRPr lang="en-US" sz="1100"/>
            </a:p>
          </xdr:txBody>
        </xdr:sp>
      </mc:Fallback>
    </mc:AlternateContent>
    <xdr:clientData/>
  </xdr:oneCellAnchor>
  <xdr:oneCellAnchor>
    <xdr:from>
      <xdr:col>2</xdr:col>
      <xdr:colOff>610475</xdr:colOff>
      <xdr:row>31</xdr:row>
      <xdr:rowOff>112391</xdr:rowOff>
    </xdr:from>
    <xdr:ext cx="2362673" cy="17222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r>
                      <a:rPr lang="he-IL" sz="1100" b="0" i="1">
                        <a:latin typeface="Cambria Math" panose="02040503050406030204" pitchFamily="18" charset="0"/>
                      </a:rPr>
                      <m:t>21%</m:t>
                    </m:r>
                  </m:oMath>
                </m:oMathPara>
              </a14:m>
              <a:endParaRPr lang="en-US" sz="1100"/>
            </a:p>
          </xdr:txBody>
        </xdr:sp>
      </mc:Choice>
      <mc:Fallback xmlns="">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21%</a:t>
              </a:r>
              <a:endParaRPr lang="en-US" sz="1100"/>
            </a:p>
          </xdr:txBody>
        </xdr:sp>
      </mc:Fallback>
    </mc:AlternateContent>
    <xdr:clientData/>
  </xdr:oneCellAnchor>
  <xdr:oneCellAnchor>
    <xdr:from>
      <xdr:col>2</xdr:col>
      <xdr:colOff>610475</xdr:colOff>
      <xdr:row>37</xdr:row>
      <xdr:rowOff>112391</xdr:rowOff>
    </xdr:from>
    <xdr:ext cx="2362673" cy="31797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𝑑</a:t>
              </a:r>
              <a:r>
                <a:rPr lang="he-IL" sz="1100" b="0" i="0">
                  <a:latin typeface="Cambria Math" panose="02040503050406030204" pitchFamily="18" charset="0"/>
                </a:rPr>
                <a:t>)</a:t>
              </a:r>
              <a:r>
                <a:rPr lang="en-US" sz="1100" b="0" i="0">
                  <a:latin typeface="Cambria Math" panose="02040503050406030204" pitchFamily="18" charset="0"/>
                </a:rPr>
                <a:t>−1</a:t>
              </a:r>
              <a:endParaRPr lang="en-US" sz="1100"/>
            </a:p>
          </xdr:txBody>
        </xdr:sp>
      </mc:Fallback>
    </mc:AlternateContent>
    <xdr:clientData/>
  </xdr:oneCellAnchor>
  <xdr:oneCellAnchor>
    <xdr:from>
      <xdr:col>2</xdr:col>
      <xdr:colOff>163522</xdr:colOff>
      <xdr:row>39</xdr:row>
      <xdr:rowOff>166897</xdr:rowOff>
    </xdr:from>
    <xdr:ext cx="2362673" cy="32464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18%</m:t>
                        </m:r>
                      </m:den>
                    </m:f>
                    <m:r>
                      <a:rPr lang="en-US" sz="1100" b="0" i="1">
                        <a:latin typeface="Cambria Math" panose="02040503050406030204" pitchFamily="18" charset="0"/>
                      </a:rPr>
                      <m:t>−1=21.95%</m:t>
                    </m:r>
                  </m:oMath>
                </m:oMathPara>
              </a14:m>
              <a:endParaRPr lang="en-US" sz="1100"/>
            </a:p>
          </xdr:txBody>
        </xdr:sp>
      </mc:Choice>
      <mc:Fallback xmlns="">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−1=21.95%</a:t>
              </a:r>
              <a:endParaRPr lang="en-US" sz="1100"/>
            </a:p>
          </xdr:txBody>
        </xdr:sp>
      </mc:Fallback>
    </mc:AlternateContent>
    <xdr:clientData/>
  </xdr:oneCellAnchor>
  <xdr:oneCellAnchor>
    <xdr:from>
      <xdr:col>3</xdr:col>
      <xdr:colOff>0</xdr:colOff>
      <xdr:row>459</xdr:row>
      <xdr:rowOff>201674</xdr:rowOff>
    </xdr:from>
    <xdr:ext cx="1626836" cy="34015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1</xdr:col>
      <xdr:colOff>724938</xdr:colOff>
      <xdr:row>462</xdr:row>
      <xdr:rowOff>5451</xdr:rowOff>
    </xdr:from>
    <xdr:ext cx="2613403" cy="35503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17%</m:t>
                                </m:r>
                              </m:num>
                              <m:den>
                                <m:r>
                                  <a:rPr lang="he-IL" sz="1100" b="0" i="1">
                                    <a:latin typeface="Cambria Math" panose="02040503050406030204" pitchFamily="18" charset="0"/>
                                  </a:rPr>
                                  <m:t>12</m:t>
                                </m:r>
                              </m:den>
                            </m:f>
                          </m:e>
                        </m:d>
                      </m:e>
                      <m:sup>
                        <m:r>
                          <a:rPr lang="he-IL" sz="1100" b="0" i="1">
                            <a:latin typeface="Cambria Math" panose="02040503050406030204" pitchFamily="18" charset="0"/>
                          </a:rPr>
                          <m:t>8</m:t>
                        </m:r>
                      </m:sup>
                    </m:sSup>
                    <m:r>
                      <a:rPr lang="en-US" sz="1100" b="0" i="1">
                        <a:latin typeface="Cambria Math" panose="02040503050406030204" pitchFamily="18" charset="0"/>
                      </a:rPr>
                      <m:t>−1</m:t>
                    </m:r>
                    <m:r>
                      <a:rPr lang="he-IL" sz="1100" b="0" i="1">
                        <a:latin typeface="Cambria Math" panose="02040503050406030204" pitchFamily="18" charset="0"/>
                      </a:rPr>
                      <m:t>=11.91%</m:t>
                    </m:r>
                  </m:oMath>
                </m:oMathPara>
              </a14:m>
              <a:endParaRPr lang="en-US" sz="1100"/>
            </a:p>
          </xdr:txBody>
        </xdr:sp>
      </mc:Choice>
      <mc:Fallback xmlns="">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=11.91%</a:t>
              </a:r>
              <a:endParaRPr lang="en-US" sz="1100"/>
            </a:p>
          </xdr:txBody>
        </xdr:sp>
      </mc:Fallback>
    </mc:AlternateContent>
    <xdr:clientData/>
  </xdr:oneCellAnchor>
  <xdr:twoCellAnchor>
    <xdr:from>
      <xdr:col>0</xdr:col>
      <xdr:colOff>534164</xdr:colOff>
      <xdr:row>48</xdr:row>
      <xdr:rowOff>125365</xdr:rowOff>
    </xdr:from>
    <xdr:to>
      <xdr:col>7</xdr:col>
      <xdr:colOff>381546</xdr:colOff>
      <xdr:row>48</xdr:row>
      <xdr:rowOff>136267</xdr:rowOff>
    </xdr:to>
    <xdr:cxnSp macro="">
      <xdr:nvCxnSpPr>
        <xdr:cNvPr id="10" name="Straight Arrow Connector 9">
          <a:extLst>
            <a:ext uri="{FF2B5EF4-FFF2-40B4-BE49-F238E27FC236}">
              <a16:creationId xmlns:a16="http://schemas.microsoft.com/office/drawing/2014/main" id="{2F04B46F-BF37-A349-81CA-CF6B0E230324}"/>
            </a:ext>
          </a:extLst>
        </xdr:cNvPr>
        <xdr:cNvCxnSpPr/>
      </xdr:nvCxnSpPr>
      <xdr:spPr>
        <a:xfrm>
          <a:off x="13518831954" y="10386965"/>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346114</xdr:colOff>
      <xdr:row>48</xdr:row>
      <xdr:rowOff>62683</xdr:rowOff>
    </xdr:from>
    <xdr:to>
      <xdr:col>5</xdr:col>
      <xdr:colOff>449677</xdr:colOff>
      <xdr:row>49</xdr:row>
      <xdr:rowOff>160794</xdr:rowOff>
    </xdr:to>
    <xdr:sp macro="" textlink="">
      <xdr:nvSpPr>
        <xdr:cNvPr id="11" name="Left Brace 10">
          <a:extLst>
            <a:ext uri="{FF2B5EF4-FFF2-40B4-BE49-F238E27FC236}">
              <a16:creationId xmlns:a16="http://schemas.microsoft.com/office/drawing/2014/main" id="{53E28D8D-B03F-1E45-A0D4-F7122439F011}"/>
            </a:ext>
          </a:extLst>
        </xdr:cNvPr>
        <xdr:cNvSpPr/>
      </xdr:nvSpPr>
      <xdr:spPr>
        <a:xfrm rot="16200000">
          <a:off x="13520754099" y="9985007"/>
          <a:ext cx="301311" cy="97986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305236</xdr:colOff>
      <xdr:row>54</xdr:row>
      <xdr:rowOff>70858</xdr:rowOff>
    </xdr:from>
    <xdr:ext cx="1626836" cy="34015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3</xdr:col>
      <xdr:colOff>228928</xdr:colOff>
      <xdr:row>56</xdr:row>
      <xdr:rowOff>92660</xdr:rowOff>
    </xdr:from>
    <xdr:ext cx="2673359" cy="35811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15%</m:t>
                                </m:r>
                              </m:num>
                              <m:den>
                                <m:r>
                                  <a:rPr lang="en-US" sz="1100" b="0" i="1">
                                    <a:latin typeface="Cambria Math" panose="02040503050406030204" pitchFamily="18" charset="0"/>
                                  </a:rPr>
                                  <m:t>12</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r>
                      <a:rPr lang="en-US" sz="1100" b="0" i="0">
                        <a:latin typeface="Cambria Math" panose="02040503050406030204" pitchFamily="18" charset="0"/>
                      </a:rPr>
                      <m:t>1.25%</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𝑟_𝑒=(1+(15%)/12)^</a:t>
              </a:r>
              <a:r>
                <a:rPr lang="he-IL" sz="1100" b="0" i="0">
                  <a:latin typeface="Cambria Math" panose="02040503050406030204" pitchFamily="18" charset="0"/>
                </a:rPr>
                <a:t>1</a:t>
              </a:r>
              <a:r>
                <a:rPr lang="en-US" sz="1100" b="0" i="0">
                  <a:latin typeface="Cambria Math" panose="02040503050406030204" pitchFamily="18" charset="0"/>
                </a:rPr>
                <a:t>−1=1.25%</a:t>
              </a:r>
              <a:endParaRPr lang="en-US" sz="1100"/>
            </a:p>
          </xdr:txBody>
        </xdr:sp>
      </mc:Fallback>
    </mc:AlternateContent>
    <xdr:clientData/>
  </xdr:oneCellAnchor>
  <xdr:twoCellAnchor>
    <xdr:from>
      <xdr:col>5</xdr:col>
      <xdr:colOff>517812</xdr:colOff>
      <xdr:row>53</xdr:row>
      <xdr:rowOff>10901</xdr:rowOff>
    </xdr:from>
    <xdr:to>
      <xdr:col>5</xdr:col>
      <xdr:colOff>523262</xdr:colOff>
      <xdr:row>54</xdr:row>
      <xdr:rowOff>65408</xdr:rowOff>
    </xdr:to>
    <xdr:cxnSp macro="">
      <xdr:nvCxnSpPr>
        <xdr:cNvPr id="14" name="Straight Arrow Connector 13">
          <a:extLst>
            <a:ext uri="{FF2B5EF4-FFF2-40B4-BE49-F238E27FC236}">
              <a16:creationId xmlns:a16="http://schemas.microsoft.com/office/drawing/2014/main" id="{8DC87DD5-E21F-7B49-9449-64E49A26731E}"/>
            </a:ext>
          </a:extLst>
        </xdr:cNvPr>
        <xdr:cNvCxnSpPr/>
      </xdr:nvCxnSpPr>
      <xdr:spPr>
        <a:xfrm>
          <a:off x="13520341238" y="11288501"/>
          <a:ext cx="5450" cy="2577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321587</xdr:colOff>
      <xdr:row>48</xdr:row>
      <xdr:rowOff>73583</xdr:rowOff>
    </xdr:from>
    <xdr:to>
      <xdr:col>3</xdr:col>
      <xdr:colOff>457854</xdr:colOff>
      <xdr:row>49</xdr:row>
      <xdr:rowOff>158068</xdr:rowOff>
    </xdr:to>
    <xdr:sp macro="" textlink="">
      <xdr:nvSpPr>
        <xdr:cNvPr id="15" name="Left Brace 14">
          <a:extLst>
            <a:ext uri="{FF2B5EF4-FFF2-40B4-BE49-F238E27FC236}">
              <a16:creationId xmlns:a16="http://schemas.microsoft.com/office/drawing/2014/main" id="{0DF582AF-7D39-304B-8C8A-40D31A080932}"/>
            </a:ext>
          </a:extLst>
        </xdr:cNvPr>
        <xdr:cNvSpPr/>
      </xdr:nvSpPr>
      <xdr:spPr>
        <a:xfrm rot="16200000">
          <a:off x="13522921737" y="9585392"/>
          <a:ext cx="287685" cy="178726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812146</xdr:colOff>
      <xdr:row>50</xdr:row>
      <xdr:rowOff>38155</xdr:rowOff>
    </xdr:from>
    <xdr:to>
      <xdr:col>4</xdr:col>
      <xdr:colOff>812146</xdr:colOff>
      <xdr:row>53</xdr:row>
      <xdr:rowOff>27253</xdr:rowOff>
    </xdr:to>
    <xdr:cxnSp macro="">
      <xdr:nvCxnSpPr>
        <xdr:cNvPr id="16" name="Straight Connector 15">
          <a:extLst>
            <a:ext uri="{FF2B5EF4-FFF2-40B4-BE49-F238E27FC236}">
              <a16:creationId xmlns:a16="http://schemas.microsoft.com/office/drawing/2014/main" id="{5BC90EB2-6704-1C46-973F-3FFE6B60ECDC}"/>
            </a:ext>
          </a:extLst>
        </xdr:cNvPr>
        <xdr:cNvCxnSpPr/>
      </xdr:nvCxnSpPr>
      <xdr:spPr>
        <a:xfrm>
          <a:off x="13520928654" y="10706155"/>
          <a:ext cx="0" cy="59869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337940</xdr:colOff>
      <xdr:row>49</xdr:row>
      <xdr:rowOff>49056</xdr:rowOff>
    </xdr:from>
    <xdr:to>
      <xdr:col>4</xdr:col>
      <xdr:colOff>343390</xdr:colOff>
      <xdr:row>53</xdr:row>
      <xdr:rowOff>43605</xdr:rowOff>
    </xdr:to>
    <xdr:cxnSp macro="">
      <xdr:nvCxnSpPr>
        <xdr:cNvPr id="17" name="Straight Connector 16">
          <a:extLst>
            <a:ext uri="{FF2B5EF4-FFF2-40B4-BE49-F238E27FC236}">
              <a16:creationId xmlns:a16="http://schemas.microsoft.com/office/drawing/2014/main" id="{32C66006-751E-2E4F-AF47-07ABD0A86170}"/>
            </a:ext>
          </a:extLst>
        </xdr:cNvPr>
        <xdr:cNvCxnSpPr/>
      </xdr:nvCxnSpPr>
      <xdr:spPr>
        <a:xfrm flipH="1" flipV="1">
          <a:off x="13521397410" y="10513856"/>
          <a:ext cx="5450" cy="807349"/>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343391</xdr:colOff>
      <xdr:row>53</xdr:row>
      <xdr:rowOff>27253</xdr:rowOff>
    </xdr:from>
    <xdr:to>
      <xdr:col>5</xdr:col>
      <xdr:colOff>1</xdr:colOff>
      <xdr:row>53</xdr:row>
      <xdr:rowOff>27253</xdr:rowOff>
    </xdr:to>
    <xdr:cxnSp macro="">
      <xdr:nvCxnSpPr>
        <xdr:cNvPr id="18" name="Straight Connector 17">
          <a:extLst>
            <a:ext uri="{FF2B5EF4-FFF2-40B4-BE49-F238E27FC236}">
              <a16:creationId xmlns:a16="http://schemas.microsoft.com/office/drawing/2014/main" id="{552AFC6C-AEC2-3849-A15F-AA20C5029670}"/>
            </a:ext>
          </a:extLst>
        </xdr:cNvPr>
        <xdr:cNvCxnSpPr/>
      </xdr:nvCxnSpPr>
      <xdr:spPr>
        <a:xfrm>
          <a:off x="13520864499" y="11304853"/>
          <a:ext cx="532910"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517811</xdr:colOff>
      <xdr:row>46</xdr:row>
      <xdr:rowOff>125364</xdr:rowOff>
    </xdr:from>
    <xdr:to>
      <xdr:col>3</xdr:col>
      <xdr:colOff>773991</xdr:colOff>
      <xdr:row>47</xdr:row>
      <xdr:rowOff>87210</xdr:rowOff>
    </xdr:to>
    <xdr:cxnSp macro="">
      <xdr:nvCxnSpPr>
        <xdr:cNvPr id="19" name="Straight Connector 18">
          <a:extLst>
            <a:ext uri="{FF2B5EF4-FFF2-40B4-BE49-F238E27FC236}">
              <a16:creationId xmlns:a16="http://schemas.microsoft.com/office/drawing/2014/main" id="{05397610-463E-EE4D-938A-C2B32DB6B86A}"/>
            </a:ext>
          </a:extLst>
        </xdr:cNvPr>
        <xdr:cNvCxnSpPr/>
      </xdr:nvCxnSpPr>
      <xdr:spPr>
        <a:xfrm>
          <a:off x="13521855809" y="9980564"/>
          <a:ext cx="256180" cy="16504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408799</xdr:colOff>
      <xdr:row>53</xdr:row>
      <xdr:rowOff>32703</xdr:rowOff>
    </xdr:from>
    <xdr:to>
      <xdr:col>2</xdr:col>
      <xdr:colOff>414250</xdr:colOff>
      <xdr:row>54</xdr:row>
      <xdr:rowOff>158069</xdr:rowOff>
    </xdr:to>
    <xdr:cxnSp macro="">
      <xdr:nvCxnSpPr>
        <xdr:cNvPr id="20" name="Straight Connector 19">
          <a:extLst>
            <a:ext uri="{FF2B5EF4-FFF2-40B4-BE49-F238E27FC236}">
              <a16:creationId xmlns:a16="http://schemas.microsoft.com/office/drawing/2014/main" id="{5BBEC511-1A6B-2D4F-B17F-DD560668F931}"/>
            </a:ext>
          </a:extLst>
        </xdr:cNvPr>
        <xdr:cNvCxnSpPr/>
      </xdr:nvCxnSpPr>
      <xdr:spPr>
        <a:xfrm flipH="1">
          <a:off x="13523041050" y="11310303"/>
          <a:ext cx="5451" cy="32856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305236</xdr:colOff>
      <xdr:row>54</xdr:row>
      <xdr:rowOff>152619</xdr:rowOff>
    </xdr:from>
    <xdr:to>
      <xdr:col>2</xdr:col>
      <xdr:colOff>397898</xdr:colOff>
      <xdr:row>54</xdr:row>
      <xdr:rowOff>158069</xdr:rowOff>
    </xdr:to>
    <xdr:cxnSp macro="">
      <xdr:nvCxnSpPr>
        <xdr:cNvPr id="21" name="Straight Connector 20">
          <a:extLst>
            <a:ext uri="{FF2B5EF4-FFF2-40B4-BE49-F238E27FC236}">
              <a16:creationId xmlns:a16="http://schemas.microsoft.com/office/drawing/2014/main" id="{B8B8477B-107F-6943-B23E-C335EB8C09FC}"/>
            </a:ext>
          </a:extLst>
        </xdr:cNvPr>
        <xdr:cNvCxnSpPr/>
      </xdr:nvCxnSpPr>
      <xdr:spPr>
        <a:xfrm>
          <a:off x="13523057402" y="11633419"/>
          <a:ext cx="918162" cy="545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305237</xdr:colOff>
      <xdr:row>49</xdr:row>
      <xdr:rowOff>147168</xdr:rowOff>
    </xdr:from>
    <xdr:to>
      <xdr:col>1</xdr:col>
      <xdr:colOff>310686</xdr:colOff>
      <xdr:row>54</xdr:row>
      <xdr:rowOff>147168</xdr:rowOff>
    </xdr:to>
    <xdr:cxnSp macro="">
      <xdr:nvCxnSpPr>
        <xdr:cNvPr id="22" name="Straight Connector 21">
          <a:extLst>
            <a:ext uri="{FF2B5EF4-FFF2-40B4-BE49-F238E27FC236}">
              <a16:creationId xmlns:a16="http://schemas.microsoft.com/office/drawing/2014/main" id="{9AFF6B6B-3219-8D47-9266-76553FEAC30D}"/>
            </a:ext>
          </a:extLst>
        </xdr:cNvPr>
        <xdr:cNvCxnSpPr/>
      </xdr:nvCxnSpPr>
      <xdr:spPr>
        <a:xfrm flipH="1" flipV="1">
          <a:off x="13523970114" y="10611968"/>
          <a:ext cx="5449" cy="10160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784893</xdr:colOff>
      <xdr:row>68</xdr:row>
      <xdr:rowOff>174420</xdr:rowOff>
    </xdr:from>
    <xdr:to>
      <xdr:col>5</xdr:col>
      <xdr:colOff>109013</xdr:colOff>
      <xdr:row>70</xdr:row>
      <xdr:rowOff>92661</xdr:rowOff>
    </xdr:to>
    <xdr:cxnSp macro="">
      <xdr:nvCxnSpPr>
        <xdr:cNvPr id="23" name="Straight Arrow Connector 22">
          <a:extLst>
            <a:ext uri="{FF2B5EF4-FFF2-40B4-BE49-F238E27FC236}">
              <a16:creationId xmlns:a16="http://schemas.microsoft.com/office/drawing/2014/main" id="{8C8E5FF7-80CD-B348-B774-6955E25B3136}"/>
            </a:ext>
          </a:extLst>
        </xdr:cNvPr>
        <xdr:cNvCxnSpPr/>
      </xdr:nvCxnSpPr>
      <xdr:spPr>
        <a:xfrm flipV="1">
          <a:off x="13520755487" y="14500020"/>
          <a:ext cx="2004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436053</xdr:colOff>
      <xdr:row>76</xdr:row>
      <xdr:rowOff>119914</xdr:rowOff>
    </xdr:from>
    <xdr:to>
      <xdr:col>7</xdr:col>
      <xdr:colOff>283435</xdr:colOff>
      <xdr:row>76</xdr:row>
      <xdr:rowOff>130816</xdr:rowOff>
    </xdr:to>
    <xdr:cxnSp macro="">
      <xdr:nvCxnSpPr>
        <xdr:cNvPr id="24" name="Straight Arrow Connector 23">
          <a:extLst>
            <a:ext uri="{FF2B5EF4-FFF2-40B4-BE49-F238E27FC236}">
              <a16:creationId xmlns:a16="http://schemas.microsoft.com/office/drawing/2014/main" id="{65B6F7D8-7459-7E45-A236-B56DBAA84F81}"/>
            </a:ext>
          </a:extLst>
        </xdr:cNvPr>
        <xdr:cNvCxnSpPr/>
      </xdr:nvCxnSpPr>
      <xdr:spPr>
        <a:xfrm>
          <a:off x="13518930065" y="160711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76</xdr:row>
      <xdr:rowOff>62682</xdr:rowOff>
    </xdr:from>
    <xdr:to>
      <xdr:col>3</xdr:col>
      <xdr:colOff>400622</xdr:colOff>
      <xdr:row>78</xdr:row>
      <xdr:rowOff>59956</xdr:rowOff>
    </xdr:to>
    <xdr:sp macro="" textlink="">
      <xdr:nvSpPr>
        <xdr:cNvPr id="25" name="Left Brace 24">
          <a:extLst>
            <a:ext uri="{FF2B5EF4-FFF2-40B4-BE49-F238E27FC236}">
              <a16:creationId xmlns:a16="http://schemas.microsoft.com/office/drawing/2014/main" id="{66F8AF34-A047-4C46-93CF-59C430CDEEC8}"/>
            </a:ext>
          </a:extLst>
        </xdr:cNvPr>
        <xdr:cNvSpPr/>
      </xdr:nvSpPr>
      <xdr:spPr>
        <a:xfrm rot="16200000">
          <a:off x="13523100710" y="151423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76309</xdr:colOff>
      <xdr:row>82</xdr:row>
      <xdr:rowOff>185322</xdr:rowOff>
    </xdr:from>
    <xdr:to>
      <xdr:col>2</xdr:col>
      <xdr:colOff>81761</xdr:colOff>
      <xdr:row>84</xdr:row>
      <xdr:rowOff>163520</xdr:rowOff>
    </xdr:to>
    <xdr:cxnSp macro="">
      <xdr:nvCxnSpPr>
        <xdr:cNvPr id="26" name="Straight Arrow Connector 25">
          <a:extLst>
            <a:ext uri="{FF2B5EF4-FFF2-40B4-BE49-F238E27FC236}">
              <a16:creationId xmlns:a16="http://schemas.microsoft.com/office/drawing/2014/main" id="{12171077-5A52-B340-849E-03CC02816C63}"/>
            </a:ext>
          </a:extLst>
        </xdr:cNvPr>
        <xdr:cNvCxnSpPr/>
      </xdr:nvCxnSpPr>
      <xdr:spPr>
        <a:xfrm flipH="1">
          <a:off x="13523373539" y="17355722"/>
          <a:ext cx="5452" cy="38459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703135</xdr:colOff>
      <xdr:row>87</xdr:row>
      <xdr:rowOff>79689</xdr:rowOff>
    </xdr:from>
    <xdr:ext cx="185576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686783</xdr:colOff>
      <xdr:row>92</xdr:row>
      <xdr:rowOff>25183</xdr:rowOff>
    </xdr:from>
    <xdr:ext cx="1855763" cy="251544"/>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6.09%</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2</m:t>
                            </m:r>
                          </m:den>
                        </m:f>
                      </m:sup>
                    </m:sSup>
                    <m:r>
                      <a:rPr lang="en-US" sz="1100" b="0" i="1">
                        <a:latin typeface="Cambria Math" panose="02040503050406030204" pitchFamily="18" charset="0"/>
                      </a:rPr>
                      <m:t>−1</m:t>
                    </m:r>
                    <m:r>
                      <a:rPr lang="he-IL" sz="1100" b="0" i="1">
                        <a:latin typeface="Cambria Math" panose="02040503050406030204" pitchFamily="18" charset="0"/>
                      </a:rPr>
                      <m:t>=3%</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6.09%)</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=3%</a:t>
              </a:r>
              <a:endParaRPr lang="en-US" sz="1100"/>
            </a:p>
          </xdr:txBody>
        </xdr:sp>
      </mc:Fallback>
    </mc:AlternateContent>
    <xdr:clientData/>
  </xdr:oneCellAnchor>
  <xdr:twoCellAnchor>
    <xdr:from>
      <xdr:col>3</xdr:col>
      <xdr:colOff>386996</xdr:colOff>
      <xdr:row>77</xdr:row>
      <xdr:rowOff>147168</xdr:rowOff>
    </xdr:from>
    <xdr:to>
      <xdr:col>3</xdr:col>
      <xdr:colOff>392446</xdr:colOff>
      <xdr:row>80</xdr:row>
      <xdr:rowOff>21802</xdr:rowOff>
    </xdr:to>
    <xdr:cxnSp macro="">
      <xdr:nvCxnSpPr>
        <xdr:cNvPr id="29" name="Straight Connector 28">
          <a:extLst>
            <a:ext uri="{FF2B5EF4-FFF2-40B4-BE49-F238E27FC236}">
              <a16:creationId xmlns:a16="http://schemas.microsoft.com/office/drawing/2014/main" id="{9B7609C3-06E0-6E4F-AC8F-952EC90BD032}"/>
            </a:ext>
          </a:extLst>
        </xdr:cNvPr>
        <xdr:cNvCxnSpPr/>
      </xdr:nvCxnSpPr>
      <xdr:spPr>
        <a:xfrm>
          <a:off x="13522237354" y="163015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80</xdr:row>
      <xdr:rowOff>27253</xdr:rowOff>
    </xdr:from>
    <xdr:to>
      <xdr:col>4</xdr:col>
      <xdr:colOff>408799</xdr:colOff>
      <xdr:row>80</xdr:row>
      <xdr:rowOff>32704</xdr:rowOff>
    </xdr:to>
    <xdr:cxnSp macro="">
      <xdr:nvCxnSpPr>
        <xdr:cNvPr id="30" name="Straight Connector 29">
          <a:extLst>
            <a:ext uri="{FF2B5EF4-FFF2-40B4-BE49-F238E27FC236}">
              <a16:creationId xmlns:a16="http://schemas.microsoft.com/office/drawing/2014/main" id="{06649176-2700-E848-8342-84F48331DB83}"/>
            </a:ext>
          </a:extLst>
        </xdr:cNvPr>
        <xdr:cNvCxnSpPr/>
      </xdr:nvCxnSpPr>
      <xdr:spPr>
        <a:xfrm flipH="1">
          <a:off x="13521332001" y="167912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77</xdr:row>
      <xdr:rowOff>81760</xdr:rowOff>
    </xdr:from>
    <xdr:to>
      <xdr:col>4</xdr:col>
      <xdr:colOff>408799</xdr:colOff>
      <xdr:row>80</xdr:row>
      <xdr:rowOff>43605</xdr:rowOff>
    </xdr:to>
    <xdr:cxnSp macro="">
      <xdr:nvCxnSpPr>
        <xdr:cNvPr id="31" name="Straight Arrow Connector 30">
          <a:extLst>
            <a:ext uri="{FF2B5EF4-FFF2-40B4-BE49-F238E27FC236}">
              <a16:creationId xmlns:a16="http://schemas.microsoft.com/office/drawing/2014/main" id="{D7496DA4-4EF5-6C4C-879C-5C82295BD45D}"/>
            </a:ext>
          </a:extLst>
        </xdr:cNvPr>
        <xdr:cNvCxnSpPr/>
      </xdr:nvCxnSpPr>
      <xdr:spPr>
        <a:xfrm flipV="1">
          <a:off x="13521332001" y="162361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75</xdr:row>
      <xdr:rowOff>114464</xdr:rowOff>
    </xdr:from>
    <xdr:to>
      <xdr:col>6</xdr:col>
      <xdr:colOff>256181</xdr:colOff>
      <xdr:row>75</xdr:row>
      <xdr:rowOff>114464</xdr:rowOff>
    </xdr:to>
    <xdr:cxnSp macro="">
      <xdr:nvCxnSpPr>
        <xdr:cNvPr id="32" name="Straight Arrow Connector 31">
          <a:extLst>
            <a:ext uri="{FF2B5EF4-FFF2-40B4-BE49-F238E27FC236}">
              <a16:creationId xmlns:a16="http://schemas.microsoft.com/office/drawing/2014/main" id="{C464084F-0C61-D540-AF24-7BF222A198A2}"/>
            </a:ext>
          </a:extLst>
        </xdr:cNvPr>
        <xdr:cNvCxnSpPr/>
      </xdr:nvCxnSpPr>
      <xdr:spPr>
        <a:xfrm flipH="1">
          <a:off x="13519782819" y="158624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479657</xdr:colOff>
      <xdr:row>96</xdr:row>
      <xdr:rowOff>117843</xdr:rowOff>
    </xdr:from>
    <xdr:ext cx="1610484" cy="31579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a:t>
              </a:r>
              <a:endParaRPr lang="en-US" sz="1100"/>
            </a:p>
          </xdr:txBody>
        </xdr:sp>
      </mc:Fallback>
    </mc:AlternateContent>
    <xdr:clientData/>
  </xdr:oneCellAnchor>
  <xdr:oneCellAnchor>
    <xdr:from>
      <xdr:col>3</xdr:col>
      <xdr:colOff>70859</xdr:colOff>
      <xdr:row>99</xdr:row>
      <xdr:rowOff>90590</xdr:rowOff>
    </xdr:from>
    <xdr:ext cx="1610484" cy="328103"/>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1.5</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15,000</m:t>
                        </m:r>
                      </m:num>
                      <m:den>
                        <m:r>
                          <a:rPr lang="he-IL" sz="1100" b="0" i="1">
                            <a:latin typeface="Cambria Math" panose="02040503050406030204" pitchFamily="18" charset="0"/>
                          </a:rPr>
                          <m:t>3%</m:t>
                        </m:r>
                      </m:den>
                    </m:f>
                    <m:r>
                      <a:rPr lang="he-IL" sz="1100" b="0" i="1">
                        <a:latin typeface="Cambria Math" panose="02040503050406030204" pitchFamily="18" charset="0"/>
                      </a:rPr>
                      <m:t>=500,000</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_1.5</a:t>
              </a:r>
              <a:r>
                <a:rPr lang="en-US" sz="1100" b="0" i="0">
                  <a:latin typeface="Cambria Math" panose="02040503050406030204" pitchFamily="18" charset="0"/>
                </a:rPr>
                <a:t>=</a:t>
              </a:r>
              <a:r>
                <a:rPr lang="he-IL" sz="1100" b="0" i="0">
                  <a:latin typeface="Cambria Math" panose="02040503050406030204" pitchFamily="18" charset="0"/>
                </a:rPr>
                <a:t>15,000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=500,000</a:t>
              </a:r>
              <a:endParaRPr lang="en-US" sz="1100"/>
            </a:p>
          </xdr:txBody>
        </xdr:sp>
      </mc:Fallback>
    </mc:AlternateContent>
    <xdr:clientData/>
  </xdr:oneCellAnchor>
  <xdr:twoCellAnchor>
    <xdr:from>
      <xdr:col>2</xdr:col>
      <xdr:colOff>784893</xdr:colOff>
      <xdr:row>108</xdr:row>
      <xdr:rowOff>174420</xdr:rowOff>
    </xdr:from>
    <xdr:to>
      <xdr:col>3</xdr:col>
      <xdr:colOff>109013</xdr:colOff>
      <xdr:row>110</xdr:row>
      <xdr:rowOff>92661</xdr:rowOff>
    </xdr:to>
    <xdr:cxnSp macro="">
      <xdr:nvCxnSpPr>
        <xdr:cNvPr id="35" name="Straight Arrow Connector 34">
          <a:extLst>
            <a:ext uri="{FF2B5EF4-FFF2-40B4-BE49-F238E27FC236}">
              <a16:creationId xmlns:a16="http://schemas.microsoft.com/office/drawing/2014/main" id="{01F3D6D3-184A-1546-BBE6-73B4E3F5B090}"/>
            </a:ext>
          </a:extLst>
        </xdr:cNvPr>
        <xdr:cNvCxnSpPr/>
      </xdr:nvCxnSpPr>
      <xdr:spPr>
        <a:xfrm flipV="1">
          <a:off x="13522520787" y="22628020"/>
          <a:ext cx="1496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735838</xdr:colOff>
      <xdr:row>121</xdr:row>
      <xdr:rowOff>125365</xdr:rowOff>
    </xdr:from>
    <xdr:to>
      <xdr:col>3</xdr:col>
      <xdr:colOff>147167</xdr:colOff>
      <xdr:row>123</xdr:row>
      <xdr:rowOff>81760</xdr:rowOff>
    </xdr:to>
    <xdr:cxnSp macro="">
      <xdr:nvCxnSpPr>
        <xdr:cNvPr id="36" name="Straight Arrow Connector 35">
          <a:extLst>
            <a:ext uri="{FF2B5EF4-FFF2-40B4-BE49-F238E27FC236}">
              <a16:creationId xmlns:a16="http://schemas.microsoft.com/office/drawing/2014/main" id="{A0C82242-2957-D24A-8BE0-B145265979A7}"/>
            </a:ext>
          </a:extLst>
        </xdr:cNvPr>
        <xdr:cNvCxnSpPr/>
      </xdr:nvCxnSpPr>
      <xdr:spPr>
        <a:xfrm>
          <a:off x="13522482633" y="25220565"/>
          <a:ext cx="236829" cy="3627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294334</xdr:colOff>
      <xdr:row>160</xdr:row>
      <xdr:rowOff>125365</xdr:rowOff>
    </xdr:from>
    <xdr:to>
      <xdr:col>5</xdr:col>
      <xdr:colOff>528712</xdr:colOff>
      <xdr:row>160</xdr:row>
      <xdr:rowOff>130816</xdr:rowOff>
    </xdr:to>
    <xdr:cxnSp macro="">
      <xdr:nvCxnSpPr>
        <xdr:cNvPr id="37" name="Straight Arrow Connector 36">
          <a:extLst>
            <a:ext uri="{FF2B5EF4-FFF2-40B4-BE49-F238E27FC236}">
              <a16:creationId xmlns:a16="http://schemas.microsoft.com/office/drawing/2014/main" id="{88CCE667-E822-6944-A8C3-33ADF83EEA4C}"/>
            </a:ext>
          </a:extLst>
        </xdr:cNvPr>
        <xdr:cNvCxnSpPr/>
      </xdr:nvCxnSpPr>
      <xdr:spPr>
        <a:xfrm>
          <a:off x="13520335788" y="331453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10898</xdr:colOff>
      <xdr:row>160</xdr:row>
      <xdr:rowOff>95385</xdr:rowOff>
    </xdr:from>
    <xdr:to>
      <xdr:col>5</xdr:col>
      <xdr:colOff>321587</xdr:colOff>
      <xdr:row>161</xdr:row>
      <xdr:rowOff>125364</xdr:rowOff>
    </xdr:to>
    <xdr:sp macro="" textlink="">
      <xdr:nvSpPr>
        <xdr:cNvPr id="38" name="Left Brace 37">
          <a:extLst>
            <a:ext uri="{FF2B5EF4-FFF2-40B4-BE49-F238E27FC236}">
              <a16:creationId xmlns:a16="http://schemas.microsoft.com/office/drawing/2014/main" id="{E22D410D-8241-3F4A-A703-2586E85BE098}"/>
            </a:ext>
          </a:extLst>
        </xdr:cNvPr>
        <xdr:cNvSpPr/>
      </xdr:nvSpPr>
      <xdr:spPr>
        <a:xfrm rot="16200000">
          <a:off x="13522289818" y="31368480"/>
          <a:ext cx="233179" cy="372698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294334</xdr:colOff>
      <xdr:row>172</xdr:row>
      <xdr:rowOff>125365</xdr:rowOff>
    </xdr:from>
    <xdr:to>
      <xdr:col>5</xdr:col>
      <xdr:colOff>528712</xdr:colOff>
      <xdr:row>172</xdr:row>
      <xdr:rowOff>130816</xdr:rowOff>
    </xdr:to>
    <xdr:cxnSp macro="">
      <xdr:nvCxnSpPr>
        <xdr:cNvPr id="39" name="Straight Arrow Connector 38">
          <a:extLst>
            <a:ext uri="{FF2B5EF4-FFF2-40B4-BE49-F238E27FC236}">
              <a16:creationId xmlns:a16="http://schemas.microsoft.com/office/drawing/2014/main" id="{BF1FDE88-898B-8646-B48E-60A5D1BB4B48}"/>
            </a:ext>
          </a:extLst>
        </xdr:cNvPr>
        <xdr:cNvCxnSpPr/>
      </xdr:nvCxnSpPr>
      <xdr:spPr>
        <a:xfrm>
          <a:off x="13520335788" y="355837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10899</xdr:colOff>
      <xdr:row>172</xdr:row>
      <xdr:rowOff>95385</xdr:rowOff>
    </xdr:from>
    <xdr:to>
      <xdr:col>4</xdr:col>
      <xdr:colOff>359740</xdr:colOff>
      <xdr:row>173</xdr:row>
      <xdr:rowOff>109012</xdr:rowOff>
    </xdr:to>
    <xdr:sp macro="" textlink="">
      <xdr:nvSpPr>
        <xdr:cNvPr id="40" name="Left Brace 39">
          <a:extLst>
            <a:ext uri="{FF2B5EF4-FFF2-40B4-BE49-F238E27FC236}">
              <a16:creationId xmlns:a16="http://schemas.microsoft.com/office/drawing/2014/main" id="{0C8FE673-7A20-BE40-A29A-247D6897979D}"/>
            </a:ext>
          </a:extLst>
        </xdr:cNvPr>
        <xdr:cNvSpPr/>
      </xdr:nvSpPr>
      <xdr:spPr>
        <a:xfrm rot="16200000">
          <a:off x="13522717067" y="34217778"/>
          <a:ext cx="216827" cy="2888841"/>
        </a:xfrm>
        <a:prstGeom prst="leftBrace">
          <a:avLst>
            <a:gd name="adj1" fmla="val 8333"/>
            <a:gd name="adj2" fmla="val 2542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795794</xdr:colOff>
      <xdr:row>181</xdr:row>
      <xdr:rowOff>79689</xdr:rowOff>
    </xdr:from>
    <xdr:ext cx="3371043" cy="31688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18,750=1,200+</m:t>
                    </m:r>
                    <m:f>
                      <m:fPr>
                        <m:ctrlPr>
                          <a:rPr lang="en-US" sz="1100" b="0" i="1">
                            <a:latin typeface="Cambria Math" panose="02040503050406030204" pitchFamily="18" charset="0"/>
                          </a:rPr>
                        </m:ctrlPr>
                      </m:fPr>
                      <m:num>
                        <m:r>
                          <a:rPr lang="en-US" sz="1100" b="0" i="1">
                            <a:latin typeface="Cambria Math" panose="02040503050406030204" pitchFamily="18" charset="0"/>
                          </a:rPr>
                          <m:t>1,200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=6.84%</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18,750=1,200+1,200/𝑟→𝑟=6.84%</a:t>
              </a:r>
              <a:endParaRPr lang="en-US" sz="1100"/>
            </a:p>
          </xdr:txBody>
        </xdr:sp>
      </mc:Fallback>
    </mc:AlternateContent>
    <xdr:clientData/>
  </xdr:oneCellAnchor>
  <xdr:twoCellAnchor>
    <xdr:from>
      <xdr:col>4</xdr:col>
      <xdr:colOff>348840</xdr:colOff>
      <xdr:row>173</xdr:row>
      <xdr:rowOff>92661</xdr:rowOff>
    </xdr:from>
    <xdr:to>
      <xdr:col>4</xdr:col>
      <xdr:colOff>365192</xdr:colOff>
      <xdr:row>177</xdr:row>
      <xdr:rowOff>158069</xdr:rowOff>
    </xdr:to>
    <xdr:cxnSp macro="">
      <xdr:nvCxnSpPr>
        <xdr:cNvPr id="42" name="Straight Connector 41">
          <a:extLst>
            <a:ext uri="{FF2B5EF4-FFF2-40B4-BE49-F238E27FC236}">
              <a16:creationId xmlns:a16="http://schemas.microsoft.com/office/drawing/2014/main" id="{84271E30-CA1C-F347-8A46-77DF916DDC5D}"/>
            </a:ext>
          </a:extLst>
        </xdr:cNvPr>
        <xdr:cNvCxnSpPr/>
      </xdr:nvCxnSpPr>
      <xdr:spPr>
        <a:xfrm>
          <a:off x="13521375608" y="35754261"/>
          <a:ext cx="16352" cy="87820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354291</xdr:colOff>
      <xdr:row>177</xdr:row>
      <xdr:rowOff>158069</xdr:rowOff>
    </xdr:from>
    <xdr:to>
      <xdr:col>5</xdr:col>
      <xdr:colOff>343390</xdr:colOff>
      <xdr:row>177</xdr:row>
      <xdr:rowOff>168970</xdr:rowOff>
    </xdr:to>
    <xdr:cxnSp macro="">
      <xdr:nvCxnSpPr>
        <xdr:cNvPr id="43" name="Straight Connector 42">
          <a:extLst>
            <a:ext uri="{FF2B5EF4-FFF2-40B4-BE49-F238E27FC236}">
              <a16:creationId xmlns:a16="http://schemas.microsoft.com/office/drawing/2014/main" id="{95656417-5636-854A-A4A0-5512D16D1A9F}"/>
            </a:ext>
          </a:extLst>
        </xdr:cNvPr>
        <xdr:cNvCxnSpPr/>
      </xdr:nvCxnSpPr>
      <xdr:spPr>
        <a:xfrm flipH="1">
          <a:off x="13520521110" y="36632469"/>
          <a:ext cx="865399"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343390</xdr:colOff>
      <xdr:row>176</xdr:row>
      <xdr:rowOff>16352</xdr:rowOff>
    </xdr:from>
    <xdr:to>
      <xdr:col>5</xdr:col>
      <xdr:colOff>348840</xdr:colOff>
      <xdr:row>177</xdr:row>
      <xdr:rowOff>168969</xdr:rowOff>
    </xdr:to>
    <xdr:cxnSp macro="">
      <xdr:nvCxnSpPr>
        <xdr:cNvPr id="44" name="Straight Connector 43">
          <a:extLst>
            <a:ext uri="{FF2B5EF4-FFF2-40B4-BE49-F238E27FC236}">
              <a16:creationId xmlns:a16="http://schemas.microsoft.com/office/drawing/2014/main" id="{A7C84DEA-0FFF-F24B-A8C5-394576F9FE3C}"/>
            </a:ext>
          </a:extLst>
        </xdr:cNvPr>
        <xdr:cNvCxnSpPr/>
      </xdr:nvCxnSpPr>
      <xdr:spPr>
        <a:xfrm flipH="1" flipV="1">
          <a:off x="13520515660" y="36287552"/>
          <a:ext cx="5450" cy="355817"/>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436053</xdr:colOff>
      <xdr:row>217</xdr:row>
      <xdr:rowOff>119914</xdr:rowOff>
    </xdr:from>
    <xdr:to>
      <xdr:col>7</xdr:col>
      <xdr:colOff>283435</xdr:colOff>
      <xdr:row>217</xdr:row>
      <xdr:rowOff>130816</xdr:rowOff>
    </xdr:to>
    <xdr:cxnSp macro="">
      <xdr:nvCxnSpPr>
        <xdr:cNvPr id="45" name="Straight Arrow Connector 44">
          <a:extLst>
            <a:ext uri="{FF2B5EF4-FFF2-40B4-BE49-F238E27FC236}">
              <a16:creationId xmlns:a16="http://schemas.microsoft.com/office/drawing/2014/main" id="{BD95C00F-BB12-BC43-AE0C-470394B2F34F}"/>
            </a:ext>
          </a:extLst>
        </xdr:cNvPr>
        <xdr:cNvCxnSpPr/>
      </xdr:nvCxnSpPr>
      <xdr:spPr>
        <a:xfrm>
          <a:off x="13518930065" y="410647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217</xdr:row>
      <xdr:rowOff>62682</xdr:rowOff>
    </xdr:from>
    <xdr:to>
      <xdr:col>3</xdr:col>
      <xdr:colOff>400622</xdr:colOff>
      <xdr:row>219</xdr:row>
      <xdr:rowOff>59956</xdr:rowOff>
    </xdr:to>
    <xdr:sp macro="" textlink="">
      <xdr:nvSpPr>
        <xdr:cNvPr id="46" name="Left Brace 45">
          <a:extLst>
            <a:ext uri="{FF2B5EF4-FFF2-40B4-BE49-F238E27FC236}">
              <a16:creationId xmlns:a16="http://schemas.microsoft.com/office/drawing/2014/main" id="{9C455D20-E8B8-584D-A0DB-23DE195FB7E0}"/>
            </a:ext>
          </a:extLst>
        </xdr:cNvPr>
        <xdr:cNvSpPr/>
      </xdr:nvSpPr>
      <xdr:spPr>
        <a:xfrm rot="16200000">
          <a:off x="13523100710" y="401359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386996</xdr:colOff>
      <xdr:row>218</xdr:row>
      <xdr:rowOff>147168</xdr:rowOff>
    </xdr:from>
    <xdr:to>
      <xdr:col>3</xdr:col>
      <xdr:colOff>392446</xdr:colOff>
      <xdr:row>221</xdr:row>
      <xdr:rowOff>21802</xdr:rowOff>
    </xdr:to>
    <xdr:cxnSp macro="">
      <xdr:nvCxnSpPr>
        <xdr:cNvPr id="47" name="Straight Connector 46">
          <a:extLst>
            <a:ext uri="{FF2B5EF4-FFF2-40B4-BE49-F238E27FC236}">
              <a16:creationId xmlns:a16="http://schemas.microsoft.com/office/drawing/2014/main" id="{6B077D54-FDC7-284A-8965-E02671BE5D2C}"/>
            </a:ext>
          </a:extLst>
        </xdr:cNvPr>
        <xdr:cNvCxnSpPr/>
      </xdr:nvCxnSpPr>
      <xdr:spPr>
        <a:xfrm>
          <a:off x="13522237354" y="412951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221</xdr:row>
      <xdr:rowOff>27253</xdr:rowOff>
    </xdr:from>
    <xdr:to>
      <xdr:col>4</xdr:col>
      <xdr:colOff>408799</xdr:colOff>
      <xdr:row>221</xdr:row>
      <xdr:rowOff>32704</xdr:rowOff>
    </xdr:to>
    <xdr:cxnSp macro="">
      <xdr:nvCxnSpPr>
        <xdr:cNvPr id="48" name="Straight Connector 47">
          <a:extLst>
            <a:ext uri="{FF2B5EF4-FFF2-40B4-BE49-F238E27FC236}">
              <a16:creationId xmlns:a16="http://schemas.microsoft.com/office/drawing/2014/main" id="{F88BD249-5D56-9A44-89C6-A3EAA64415C8}"/>
            </a:ext>
          </a:extLst>
        </xdr:cNvPr>
        <xdr:cNvCxnSpPr/>
      </xdr:nvCxnSpPr>
      <xdr:spPr>
        <a:xfrm flipH="1">
          <a:off x="13521332001" y="417848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218</xdr:row>
      <xdr:rowOff>81760</xdr:rowOff>
    </xdr:from>
    <xdr:to>
      <xdr:col>4</xdr:col>
      <xdr:colOff>408799</xdr:colOff>
      <xdr:row>221</xdr:row>
      <xdr:rowOff>43605</xdr:rowOff>
    </xdr:to>
    <xdr:cxnSp macro="">
      <xdr:nvCxnSpPr>
        <xdr:cNvPr id="49" name="Straight Arrow Connector 48">
          <a:extLst>
            <a:ext uri="{FF2B5EF4-FFF2-40B4-BE49-F238E27FC236}">
              <a16:creationId xmlns:a16="http://schemas.microsoft.com/office/drawing/2014/main" id="{0B61CD40-72FC-7840-9FAE-8B8A69026A14}"/>
            </a:ext>
          </a:extLst>
        </xdr:cNvPr>
        <xdr:cNvCxnSpPr/>
      </xdr:nvCxnSpPr>
      <xdr:spPr>
        <a:xfrm flipV="1">
          <a:off x="13521332001" y="412297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216</xdr:row>
      <xdr:rowOff>114464</xdr:rowOff>
    </xdr:from>
    <xdr:to>
      <xdr:col>6</xdr:col>
      <xdr:colOff>256181</xdr:colOff>
      <xdr:row>216</xdr:row>
      <xdr:rowOff>114464</xdr:rowOff>
    </xdr:to>
    <xdr:cxnSp macro="">
      <xdr:nvCxnSpPr>
        <xdr:cNvPr id="50" name="Straight Arrow Connector 49">
          <a:extLst>
            <a:ext uri="{FF2B5EF4-FFF2-40B4-BE49-F238E27FC236}">
              <a16:creationId xmlns:a16="http://schemas.microsoft.com/office/drawing/2014/main" id="{D8531DA7-0B57-3E4F-B13C-B901A2D67379}"/>
            </a:ext>
          </a:extLst>
        </xdr:cNvPr>
        <xdr:cNvCxnSpPr/>
      </xdr:nvCxnSpPr>
      <xdr:spPr>
        <a:xfrm flipH="1">
          <a:off x="13519782819" y="408560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735838</xdr:colOff>
      <xdr:row>232</xdr:row>
      <xdr:rowOff>125365</xdr:rowOff>
    </xdr:from>
    <xdr:to>
      <xdr:col>4</xdr:col>
      <xdr:colOff>147167</xdr:colOff>
      <xdr:row>234</xdr:row>
      <xdr:rowOff>81760</xdr:rowOff>
    </xdr:to>
    <xdr:cxnSp macro="">
      <xdr:nvCxnSpPr>
        <xdr:cNvPr id="51" name="Straight Arrow Connector 50">
          <a:extLst>
            <a:ext uri="{FF2B5EF4-FFF2-40B4-BE49-F238E27FC236}">
              <a16:creationId xmlns:a16="http://schemas.microsoft.com/office/drawing/2014/main" id="{E1D79933-A274-2E48-AF6A-45452B17A7D7}"/>
            </a:ext>
          </a:extLst>
        </xdr:cNvPr>
        <xdr:cNvCxnSpPr/>
      </xdr:nvCxnSpPr>
      <xdr:spPr>
        <a:xfrm>
          <a:off x="13521593633" y="43521265"/>
          <a:ext cx="300329" cy="3754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490558</xdr:colOff>
      <xdr:row>415</xdr:row>
      <xdr:rowOff>92661</xdr:rowOff>
    </xdr:from>
    <xdr:to>
      <xdr:col>6</xdr:col>
      <xdr:colOff>719485</xdr:colOff>
      <xdr:row>415</xdr:row>
      <xdr:rowOff>92661</xdr:rowOff>
    </xdr:to>
    <xdr:cxnSp macro="">
      <xdr:nvCxnSpPr>
        <xdr:cNvPr id="52" name="Straight Arrow Connector 51">
          <a:extLst>
            <a:ext uri="{FF2B5EF4-FFF2-40B4-BE49-F238E27FC236}">
              <a16:creationId xmlns:a16="http://schemas.microsoft.com/office/drawing/2014/main" id="{0E673BF5-3A91-C74A-981F-288E5D455B65}"/>
            </a:ext>
          </a:extLst>
        </xdr:cNvPr>
        <xdr:cNvCxnSpPr/>
      </xdr:nvCxnSpPr>
      <xdr:spPr>
        <a:xfrm>
          <a:off x="13519319515" y="61586061"/>
          <a:ext cx="529622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392446</xdr:colOff>
      <xdr:row>417</xdr:row>
      <xdr:rowOff>27254</xdr:rowOff>
    </xdr:from>
    <xdr:to>
      <xdr:col>4</xdr:col>
      <xdr:colOff>392446</xdr:colOff>
      <xdr:row>419</xdr:row>
      <xdr:rowOff>136266</xdr:rowOff>
    </xdr:to>
    <xdr:cxnSp macro="">
      <xdr:nvCxnSpPr>
        <xdr:cNvPr id="53" name="Straight Connector 52">
          <a:extLst>
            <a:ext uri="{FF2B5EF4-FFF2-40B4-BE49-F238E27FC236}">
              <a16:creationId xmlns:a16="http://schemas.microsoft.com/office/drawing/2014/main" id="{9FD4B64B-D624-E643-AE0A-E3A1D8EABC03}"/>
            </a:ext>
          </a:extLst>
        </xdr:cNvPr>
        <xdr:cNvCxnSpPr/>
      </xdr:nvCxnSpPr>
      <xdr:spPr>
        <a:xfrm>
          <a:off x="13521348354" y="61927054"/>
          <a:ext cx="0" cy="5154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392446</xdr:colOff>
      <xdr:row>417</xdr:row>
      <xdr:rowOff>59957</xdr:rowOff>
    </xdr:from>
    <xdr:to>
      <xdr:col>2</xdr:col>
      <xdr:colOff>397897</xdr:colOff>
      <xdr:row>419</xdr:row>
      <xdr:rowOff>147167</xdr:rowOff>
    </xdr:to>
    <xdr:cxnSp macro="">
      <xdr:nvCxnSpPr>
        <xdr:cNvPr id="54" name="Straight Connector 53">
          <a:extLst>
            <a:ext uri="{FF2B5EF4-FFF2-40B4-BE49-F238E27FC236}">
              <a16:creationId xmlns:a16="http://schemas.microsoft.com/office/drawing/2014/main" id="{054E95ED-EEAF-DC4E-8ED4-7A20D663281C}"/>
            </a:ext>
          </a:extLst>
        </xdr:cNvPr>
        <xdr:cNvCxnSpPr/>
      </xdr:nvCxnSpPr>
      <xdr:spPr>
        <a:xfrm flipV="1">
          <a:off x="13523057403" y="61959757"/>
          <a:ext cx="5451" cy="49361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397897</xdr:colOff>
      <xdr:row>419</xdr:row>
      <xdr:rowOff>125365</xdr:rowOff>
    </xdr:from>
    <xdr:to>
      <xdr:col>4</xdr:col>
      <xdr:colOff>392446</xdr:colOff>
      <xdr:row>419</xdr:row>
      <xdr:rowOff>141717</xdr:rowOff>
    </xdr:to>
    <xdr:cxnSp macro="">
      <xdr:nvCxnSpPr>
        <xdr:cNvPr id="55" name="Straight Connector 54">
          <a:extLst>
            <a:ext uri="{FF2B5EF4-FFF2-40B4-BE49-F238E27FC236}">
              <a16:creationId xmlns:a16="http://schemas.microsoft.com/office/drawing/2014/main" id="{DC10D1AE-E4BB-2341-B493-56630BCE1D29}"/>
            </a:ext>
          </a:extLst>
        </xdr:cNvPr>
        <xdr:cNvCxnSpPr/>
      </xdr:nvCxnSpPr>
      <xdr:spPr>
        <a:xfrm>
          <a:off x="13521348354" y="62431565"/>
          <a:ext cx="1709049" cy="1635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414249</xdr:colOff>
      <xdr:row>411</xdr:row>
      <xdr:rowOff>76310</xdr:rowOff>
    </xdr:from>
    <xdr:to>
      <xdr:col>4</xdr:col>
      <xdr:colOff>414249</xdr:colOff>
      <xdr:row>413</xdr:row>
      <xdr:rowOff>185321</xdr:rowOff>
    </xdr:to>
    <xdr:cxnSp macro="">
      <xdr:nvCxnSpPr>
        <xdr:cNvPr id="56" name="Straight Connector 55">
          <a:extLst>
            <a:ext uri="{FF2B5EF4-FFF2-40B4-BE49-F238E27FC236}">
              <a16:creationId xmlns:a16="http://schemas.microsoft.com/office/drawing/2014/main" id="{A76F621E-F691-0841-A3F3-480F441FBEEF}"/>
            </a:ext>
          </a:extLst>
        </xdr:cNvPr>
        <xdr:cNvCxnSpPr/>
      </xdr:nvCxnSpPr>
      <xdr:spPr>
        <a:xfrm>
          <a:off x="13521326551" y="60756910"/>
          <a:ext cx="0" cy="51541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403347</xdr:colOff>
      <xdr:row>411</xdr:row>
      <xdr:rowOff>65408</xdr:rowOff>
    </xdr:from>
    <xdr:to>
      <xdr:col>5</xdr:col>
      <xdr:colOff>414248</xdr:colOff>
      <xdr:row>411</xdr:row>
      <xdr:rowOff>76309</xdr:rowOff>
    </xdr:to>
    <xdr:cxnSp macro="">
      <xdr:nvCxnSpPr>
        <xdr:cNvPr id="57" name="Straight Connector 56">
          <a:extLst>
            <a:ext uri="{FF2B5EF4-FFF2-40B4-BE49-F238E27FC236}">
              <a16:creationId xmlns:a16="http://schemas.microsoft.com/office/drawing/2014/main" id="{364447C2-D665-424A-BF81-061DD5AAD9E1}"/>
            </a:ext>
          </a:extLst>
        </xdr:cNvPr>
        <xdr:cNvCxnSpPr/>
      </xdr:nvCxnSpPr>
      <xdr:spPr>
        <a:xfrm>
          <a:off x="13520450252" y="60746008"/>
          <a:ext cx="887201"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403347</xdr:colOff>
      <xdr:row>411</xdr:row>
      <xdr:rowOff>65408</xdr:rowOff>
    </xdr:from>
    <xdr:to>
      <xdr:col>5</xdr:col>
      <xdr:colOff>408797</xdr:colOff>
      <xdr:row>414</xdr:row>
      <xdr:rowOff>54508</xdr:rowOff>
    </xdr:to>
    <xdr:cxnSp macro="">
      <xdr:nvCxnSpPr>
        <xdr:cNvPr id="58" name="Straight Connector 57">
          <a:extLst>
            <a:ext uri="{FF2B5EF4-FFF2-40B4-BE49-F238E27FC236}">
              <a16:creationId xmlns:a16="http://schemas.microsoft.com/office/drawing/2014/main" id="{9AC74F0A-4271-914C-B328-CCAEABC59EE4}"/>
            </a:ext>
          </a:extLst>
        </xdr:cNvPr>
        <xdr:cNvCxnSpPr/>
      </xdr:nvCxnSpPr>
      <xdr:spPr>
        <a:xfrm flipH="1">
          <a:off x="13520455703" y="60746008"/>
          <a:ext cx="5450" cy="5987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577767</xdr:colOff>
      <xdr:row>273</xdr:row>
      <xdr:rowOff>145098</xdr:rowOff>
    </xdr:from>
    <xdr:ext cx="1833960" cy="315792"/>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588670</xdr:colOff>
      <xdr:row>276</xdr:row>
      <xdr:rowOff>46986</xdr:rowOff>
    </xdr:from>
    <xdr:ext cx="2635204"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20</m:t>
                        </m:r>
                      </m:sub>
                    </m:sSub>
                    <m:r>
                      <a:rPr lang="en-US" sz="1100" b="0" i="1">
                        <a:latin typeface="Cambria Math" panose="02040503050406030204" pitchFamily="18" charset="0"/>
                      </a:rPr>
                      <m:t>=</m:t>
                    </m:r>
                    <m:r>
                      <a:rPr lang="he-IL" sz="1100" b="0" i="1">
                        <a:latin typeface="Cambria Math" panose="02040503050406030204" pitchFamily="18" charset="0"/>
                      </a:rPr>
                      <m:t>60,000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60,000</m:t>
                        </m:r>
                      </m:num>
                      <m:den>
                        <m:r>
                          <a:rPr lang="he-IL" sz="1100" b="0" i="1">
                            <a:latin typeface="Cambria Math" panose="02040503050406030204" pitchFamily="18" charset="0"/>
                          </a:rPr>
                          <m:t>30</m:t>
                        </m:r>
                      </m:den>
                    </m:f>
                    <m:r>
                      <a:rPr lang="en-US" sz="1100" b="0" i="1">
                        <a:latin typeface="Cambria Math" panose="02040503050406030204" pitchFamily="18" charset="0"/>
                      </a:rPr>
                      <m:t>∗</m:t>
                    </m:r>
                    <m:r>
                      <a:rPr lang="he-IL" sz="1100" b="0" i="1">
                        <a:latin typeface="Cambria Math" panose="02040503050406030204" pitchFamily="18" charset="0"/>
                      </a:rPr>
                      <m:t>20=20,000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30</a:t>
              </a:r>
              <a:r>
                <a:rPr lang="en-US" sz="1100" b="0" i="0">
                  <a:latin typeface="Cambria Math" panose="02040503050406030204" pitchFamily="18" charset="0"/>
                </a:rPr>
                <a:t>∗</a:t>
              </a:r>
              <a:r>
                <a:rPr lang="he-IL" sz="1100" b="0" i="0">
                  <a:latin typeface="Cambria Math" panose="02040503050406030204" pitchFamily="18" charset="0"/>
                </a:rPr>
                <a:t>20=20,000</a:t>
              </a:r>
              <a:endParaRPr lang="en-US" sz="1100"/>
            </a:p>
          </xdr:txBody>
        </xdr:sp>
      </mc:Fallback>
    </mc:AlternateContent>
    <xdr:clientData/>
  </xdr:oneCellAnchor>
  <xdr:oneCellAnchor>
    <xdr:from>
      <xdr:col>3</xdr:col>
      <xdr:colOff>768539</xdr:colOff>
      <xdr:row>288</xdr:row>
      <xdr:rowOff>57887</xdr:rowOff>
    </xdr:from>
    <xdr:ext cx="1833960" cy="31579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714035</xdr:colOff>
      <xdr:row>290</xdr:row>
      <xdr:rowOff>52437</xdr:rowOff>
    </xdr:from>
    <xdr:ext cx="2635204" cy="32149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10</m:t>
                        </m:r>
                      </m:sub>
                    </m:sSub>
                    <m:r>
                      <a:rPr lang="en-US" sz="1100" b="0" i="1">
                        <a:latin typeface="Cambria Math" panose="02040503050406030204" pitchFamily="18" charset="0"/>
                      </a:rPr>
                      <m:t>=</m:t>
                    </m:r>
                    <m:r>
                      <a:rPr lang="he-IL" sz="1100" b="0" i="1">
                        <a:latin typeface="Cambria Math" panose="02040503050406030204" pitchFamily="18" charset="0"/>
                      </a:rPr>
                      <m:t>50,000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m:t>
                        </m:r>
                      </m:num>
                      <m:den>
                        <m:r>
                          <a:rPr lang="he-IL" sz="1100" b="0" i="1">
                            <a:latin typeface="Cambria Math" panose="02040503050406030204" pitchFamily="18" charset="0"/>
                          </a:rPr>
                          <m:t>20</m:t>
                        </m:r>
                      </m:den>
                    </m:f>
                    <m:r>
                      <a:rPr lang="en-US" sz="1100" b="0" i="1">
                        <a:latin typeface="Cambria Math" panose="02040503050406030204" pitchFamily="18" charset="0"/>
                      </a:rPr>
                      <m:t>∗</m:t>
                    </m:r>
                    <m:r>
                      <a:rPr lang="he-IL" sz="1100" b="0" i="1">
                        <a:latin typeface="Cambria Math" panose="02040503050406030204" pitchFamily="18" charset="0"/>
                      </a:rPr>
                      <m:t>10=25,000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10=25,000</a:t>
              </a:r>
              <a:endParaRPr lang="en-US" sz="1100"/>
            </a:p>
          </xdr:txBody>
        </xdr:sp>
      </mc:Fallback>
    </mc:AlternateContent>
    <xdr:clientData/>
  </xdr:oneCellAnchor>
  <xdr:oneCellAnchor>
    <xdr:from>
      <xdr:col>1</xdr:col>
      <xdr:colOff>735838</xdr:colOff>
      <xdr:row>150</xdr:row>
      <xdr:rowOff>199603</xdr:rowOff>
    </xdr:from>
    <xdr:ext cx="382889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m:t>
                    </m:r>
                    <m:r>
                      <a:rPr lang="en-US" sz="1100" b="0" i="1">
                        <a:latin typeface="Cambria Math" panose="02040503050406030204" pitchFamily="18" charset="0"/>
                      </a:rPr>
                      <m:t>𝐵𝐴𝐿</m:t>
                    </m:r>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e>
                        </m:d>
                      </m:e>
                      <m:sup>
                        <m:r>
                          <a:rPr lang="en-US" sz="1100" b="0" i="1">
                            <a:latin typeface="Cambria Math" panose="02040503050406030204" pitchFamily="18" charset="0"/>
                          </a:rPr>
                          <m:t>𝑛</m:t>
                        </m:r>
                      </m:sup>
                    </m:sSup>
                  </m:oMath>
                </m:oMathPara>
              </a14:m>
              <a:endParaRPr lang="en-US" sz="1100"/>
            </a:p>
          </xdr:txBody>
        </xdr:sp>
      </mc:Choice>
      <mc:Fallback xmlns="">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𝐵𝐴𝐿(𝑍𝑎𝑚𝑢𝑑)=𝐵𝐴𝐿∗(1+%𝑖𝑛𝑓𝑙𝑎𝑡𝑖𝑜𝑛)^𝑛</a:t>
              </a:r>
              <a:endParaRPr lang="en-US" sz="1100"/>
            </a:p>
          </xdr:txBody>
        </xdr:sp>
      </mc:Fallback>
    </mc:AlternateContent>
    <xdr:clientData/>
  </xdr:oneCellAnchor>
  <xdr:oneCellAnchor>
    <xdr:from>
      <xdr:col>2</xdr:col>
      <xdr:colOff>16353</xdr:colOff>
      <xdr:row>152</xdr:row>
      <xdr:rowOff>30633</xdr:rowOff>
    </xdr:from>
    <xdr:ext cx="3828897" cy="175369"/>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=45,922∗</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6</m:t>
                        </m:r>
                      </m:sup>
                    </m:sSup>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𝐵𝐴𝐿(𝑍𝑎𝑚𝑢𝑑)=45,922∗(1+8%)^6=</a:t>
              </a:r>
              <a:endParaRPr lang="en-US" sz="1100"/>
            </a:p>
          </xdr:txBody>
        </xdr:sp>
      </mc:Fallback>
    </mc:AlternateContent>
    <xdr:clientData/>
  </xdr:oneCellAnchor>
  <xdr:twoCellAnchor>
    <xdr:from>
      <xdr:col>0</xdr:col>
      <xdr:colOff>561417</xdr:colOff>
      <xdr:row>242</xdr:row>
      <xdr:rowOff>70858</xdr:rowOff>
    </xdr:from>
    <xdr:to>
      <xdr:col>6</xdr:col>
      <xdr:colOff>403348</xdr:colOff>
      <xdr:row>242</xdr:row>
      <xdr:rowOff>70859</xdr:rowOff>
    </xdr:to>
    <xdr:cxnSp macro="">
      <xdr:nvCxnSpPr>
        <xdr:cNvPr id="65" name="Straight Arrow Connector 64">
          <a:extLst>
            <a:ext uri="{FF2B5EF4-FFF2-40B4-BE49-F238E27FC236}">
              <a16:creationId xmlns:a16="http://schemas.microsoft.com/office/drawing/2014/main" id="{37346A31-AD4D-A64C-A1A0-9CF4CA15108C}"/>
            </a:ext>
          </a:extLst>
        </xdr:cNvPr>
        <xdr:cNvCxnSpPr/>
      </xdr:nvCxnSpPr>
      <xdr:spPr>
        <a:xfrm>
          <a:off x="13519635652" y="45511458"/>
          <a:ext cx="4909231" cy="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212573</xdr:colOff>
      <xdr:row>242</xdr:row>
      <xdr:rowOff>16353</xdr:rowOff>
    </xdr:from>
    <xdr:to>
      <xdr:col>4</xdr:col>
      <xdr:colOff>419698</xdr:colOff>
      <xdr:row>243</xdr:row>
      <xdr:rowOff>109013</xdr:rowOff>
    </xdr:to>
    <xdr:sp macro="" textlink="">
      <xdr:nvSpPr>
        <xdr:cNvPr id="66" name="Left Brace 65">
          <a:extLst>
            <a:ext uri="{FF2B5EF4-FFF2-40B4-BE49-F238E27FC236}">
              <a16:creationId xmlns:a16="http://schemas.microsoft.com/office/drawing/2014/main" id="{E54A2BA4-60E7-5140-AE83-BC46301BF5F5}"/>
            </a:ext>
          </a:extLst>
        </xdr:cNvPr>
        <xdr:cNvSpPr/>
      </xdr:nvSpPr>
      <xdr:spPr>
        <a:xfrm rot="16200000">
          <a:off x="13522546735" y="44231320"/>
          <a:ext cx="295860" cy="274712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256180</xdr:colOff>
      <xdr:row>251</xdr:row>
      <xdr:rowOff>57886</xdr:rowOff>
    </xdr:from>
    <xdr:ext cx="3529110" cy="251544"/>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𝐻𝑎𝑧𝑖</m:t>
                        </m:r>
                        <m:r>
                          <a:rPr lang="en-US" sz="1100" b="0" i="1">
                            <a:latin typeface="Cambria Math" panose="02040503050406030204" pitchFamily="18" charset="0"/>
                          </a:rPr>
                          <m:t> </m:t>
                        </m:r>
                        <m:r>
                          <a:rPr lang="en-US" sz="1100" b="0" i="1">
                            <a:latin typeface="Cambria Math" panose="02040503050406030204" pitchFamily="18" charset="0"/>
                          </a:rPr>
                          <m:t>𝑆h𝑎𝑛𝑎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−1=2.4695%</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(𝐻𝑎𝑧𝑖 𝑆ℎ𝑎𝑛𝑎)=(1+5%)^(1/2)−1=2.4695%</a:t>
              </a:r>
              <a:endParaRPr lang="en-US" sz="1100"/>
            </a:p>
          </xdr:txBody>
        </xdr:sp>
      </mc:Fallback>
    </mc:AlternateContent>
    <xdr:clientData/>
  </xdr:oneCellAnchor>
  <xdr:oneCellAnchor>
    <xdr:from>
      <xdr:col>3</xdr:col>
      <xdr:colOff>474207</xdr:colOff>
      <xdr:row>255</xdr:row>
      <xdr:rowOff>8829</xdr:rowOff>
    </xdr:from>
    <xdr:ext cx="2008381" cy="324641"/>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2.4695%</m:t>
                        </m:r>
                      </m:den>
                    </m:f>
                    <m:r>
                      <a:rPr lang="en-US" sz="1100" b="0" i="1">
                        <a:latin typeface="Cambria Math" panose="02040503050406030204" pitchFamily="18" charset="0"/>
                      </a:rPr>
                      <m:t>=1,214.8</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𝑃𝑉=𝑃𝑀𝑇/𝑟=30/(2.4695%)=1,214.8</a:t>
              </a:r>
              <a:endParaRPr lang="en-US" sz="1100"/>
            </a:p>
          </xdr:txBody>
        </xdr:sp>
      </mc:Fallback>
    </mc:AlternateContent>
    <xdr:clientData/>
  </xdr:oneCellAnchor>
  <xdr:oneCellAnchor>
    <xdr:from>
      <xdr:col>1</xdr:col>
      <xdr:colOff>283434</xdr:colOff>
      <xdr:row>452</xdr:row>
      <xdr:rowOff>161449</xdr:rowOff>
    </xdr:from>
    <xdr:ext cx="418318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=56,180∗</m:t>
                    </m:r>
                    <m:d>
                      <m:dPr>
                        <m:ctrlPr>
                          <a:rPr lang="en-US" sz="1100" b="0" i="1">
                            <a:latin typeface="Cambria Math" panose="02040503050406030204" pitchFamily="18" charset="0"/>
                          </a:rPr>
                        </m:ctrlPr>
                      </m:dPr>
                      <m:e>
                        <m:r>
                          <a:rPr lang="en-US" sz="1100" b="0" i="1">
                            <a:latin typeface="Cambria Math" panose="02040503050406030204" pitchFamily="18" charset="0"/>
                          </a:rPr>
                          <m:t>1+4%</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𝟓𝟓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𝟓𝟎𝟔</m:t>
                    </m:r>
                  </m:oMath>
                </m:oMathPara>
              </a14:m>
              <a:endParaRPr lang="en-US" sz="1100" b="1"/>
            </a:p>
          </xdr:txBody>
        </xdr:sp>
      </mc:Choice>
      <mc:Fallback xmlns="">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𝐹𝑉(𝑍𝑎𝑚𝑢𝑑)=56,180∗(1+4%)∗(1−5%)=</a:t>
              </a:r>
              <a:r>
                <a:rPr lang="en-US" sz="1100" b="1" i="0">
                  <a:solidFill>
                    <a:srgbClr val="FF0000"/>
                  </a:solidFill>
                  <a:latin typeface="Cambria Math" panose="02040503050406030204" pitchFamily="18" charset="0"/>
                </a:rPr>
                <a:t>𝟓𝟓,𝟓𝟎𝟔</a:t>
              </a:r>
              <a:endParaRPr lang="en-US" sz="1100" b="1"/>
            </a:p>
          </xdr:txBody>
        </xdr:sp>
      </mc:Fallback>
    </mc:AlternateContent>
    <xdr:clientData/>
  </xdr:oneCellAnchor>
  <xdr:twoCellAnchor editAs="oneCell">
    <xdr:from>
      <xdr:col>0</xdr:col>
      <xdr:colOff>0</xdr:colOff>
      <xdr:row>196</xdr:row>
      <xdr:rowOff>174684</xdr:rowOff>
    </xdr:from>
    <xdr:to>
      <xdr:col>7</xdr:col>
      <xdr:colOff>797881</xdr:colOff>
      <xdr:row>207</xdr:row>
      <xdr:rowOff>93088</xdr:rowOff>
    </xdr:to>
    <xdr:pic>
      <xdr:nvPicPr>
        <xdr:cNvPr id="70" name="Picture 69">
          <a:extLst>
            <a:ext uri="{FF2B5EF4-FFF2-40B4-BE49-F238E27FC236}">
              <a16:creationId xmlns:a16="http://schemas.microsoft.com/office/drawing/2014/main" id="{01028B13-FD40-7126-A744-DA8103BD302C}"/>
            </a:ext>
          </a:extLst>
        </xdr:cNvPr>
        <xdr:cNvPicPr>
          <a:picLocks noChangeAspect="1"/>
        </xdr:cNvPicPr>
      </xdr:nvPicPr>
      <xdr:blipFill>
        <a:blip xmlns:r="http://schemas.openxmlformats.org/officeDocument/2006/relationships" r:embed="rId1"/>
        <a:stretch>
          <a:fillRect/>
        </a:stretch>
      </xdr:blipFill>
      <xdr:spPr>
        <a:xfrm>
          <a:off x="13530013457" y="40078178"/>
          <a:ext cx="6666320" cy="215152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680203</xdr:colOff>
      <xdr:row>4</xdr:row>
      <xdr:rowOff>94712</xdr:rowOff>
    </xdr:from>
    <xdr:to>
      <xdr:col>8</xdr:col>
      <xdr:colOff>559661</xdr:colOff>
      <xdr:row>6</xdr:row>
      <xdr:rowOff>25830</xdr:rowOff>
    </xdr:to>
    <xdr:cxnSp macro="">
      <xdr:nvCxnSpPr>
        <xdr:cNvPr id="3" name="Straight Arrow Connector 2">
          <a:extLst>
            <a:ext uri="{FF2B5EF4-FFF2-40B4-BE49-F238E27FC236}">
              <a16:creationId xmlns:a16="http://schemas.microsoft.com/office/drawing/2014/main" id="{A208B042-092F-A31E-3888-4699FF357F59}"/>
            </a:ext>
          </a:extLst>
        </xdr:cNvPr>
        <xdr:cNvCxnSpPr/>
      </xdr:nvCxnSpPr>
      <xdr:spPr>
        <a:xfrm flipH="1">
          <a:off x="13535453356" y="904068"/>
          <a:ext cx="706034" cy="335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675898</xdr:colOff>
      <xdr:row>6</xdr:row>
      <xdr:rowOff>60271</xdr:rowOff>
    </xdr:from>
    <xdr:to>
      <xdr:col>8</xdr:col>
      <xdr:colOff>559661</xdr:colOff>
      <xdr:row>7</xdr:row>
      <xdr:rowOff>90407</xdr:rowOff>
    </xdr:to>
    <xdr:cxnSp macro="">
      <xdr:nvCxnSpPr>
        <xdr:cNvPr id="4" name="Straight Arrow Connector 3">
          <a:extLst>
            <a:ext uri="{FF2B5EF4-FFF2-40B4-BE49-F238E27FC236}">
              <a16:creationId xmlns:a16="http://schemas.microsoft.com/office/drawing/2014/main" id="{83BDE0AF-AC6F-E5EB-B4AE-C523257A4313}"/>
            </a:ext>
          </a:extLst>
        </xdr:cNvPr>
        <xdr:cNvCxnSpPr/>
      </xdr:nvCxnSpPr>
      <xdr:spPr>
        <a:xfrm flipH="1" flipV="1">
          <a:off x="13535453356" y="1274305"/>
          <a:ext cx="710339" cy="2324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718949</xdr:colOff>
      <xdr:row>6</xdr:row>
      <xdr:rowOff>116237</xdr:rowOff>
    </xdr:from>
    <xdr:to>
      <xdr:col>8</xdr:col>
      <xdr:colOff>594102</xdr:colOff>
      <xdr:row>8</xdr:row>
      <xdr:rowOff>90407</xdr:rowOff>
    </xdr:to>
    <xdr:cxnSp macro="">
      <xdr:nvCxnSpPr>
        <xdr:cNvPr id="6" name="Straight Arrow Connector 5">
          <a:extLst>
            <a:ext uri="{FF2B5EF4-FFF2-40B4-BE49-F238E27FC236}">
              <a16:creationId xmlns:a16="http://schemas.microsoft.com/office/drawing/2014/main" id="{A8E047C4-358B-EE38-45D8-F69C082B8F99}"/>
            </a:ext>
          </a:extLst>
        </xdr:cNvPr>
        <xdr:cNvCxnSpPr/>
      </xdr:nvCxnSpPr>
      <xdr:spPr>
        <a:xfrm flipH="1" flipV="1">
          <a:off x="13535418915" y="1330271"/>
          <a:ext cx="701729" cy="3788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30135</xdr:colOff>
      <xdr:row>4</xdr:row>
      <xdr:rowOff>43051</xdr:rowOff>
    </xdr:from>
    <xdr:to>
      <xdr:col>7</xdr:col>
      <xdr:colOff>198034</xdr:colOff>
      <xdr:row>4</xdr:row>
      <xdr:rowOff>193729</xdr:rowOff>
    </xdr:to>
    <xdr:sp macro="" textlink="">
      <xdr:nvSpPr>
        <xdr:cNvPr id="8" name="Rounded Rectangle 7">
          <a:extLst>
            <a:ext uri="{FF2B5EF4-FFF2-40B4-BE49-F238E27FC236}">
              <a16:creationId xmlns:a16="http://schemas.microsoft.com/office/drawing/2014/main" id="{4EEB72E6-5154-3AEC-A768-0A115C6A3E61}"/>
            </a:ext>
          </a:extLst>
        </xdr:cNvPr>
        <xdr:cNvSpPr/>
      </xdr:nvSpPr>
      <xdr:spPr>
        <a:xfrm>
          <a:off x="13536641559" y="865322"/>
          <a:ext cx="167899"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7</xdr:row>
      <xdr:rowOff>34441</xdr:rowOff>
    </xdr:from>
    <xdr:to>
      <xdr:col>7</xdr:col>
      <xdr:colOff>215253</xdr:colOff>
      <xdr:row>7</xdr:row>
      <xdr:rowOff>185119</xdr:rowOff>
    </xdr:to>
    <xdr:sp macro="" textlink="">
      <xdr:nvSpPr>
        <xdr:cNvPr id="9" name="Rounded Rectangle 8">
          <a:extLst>
            <a:ext uri="{FF2B5EF4-FFF2-40B4-BE49-F238E27FC236}">
              <a16:creationId xmlns:a16="http://schemas.microsoft.com/office/drawing/2014/main" id="{A4825B78-9E06-ADEA-B696-61A9D7737ED2}"/>
            </a:ext>
          </a:extLst>
        </xdr:cNvPr>
        <xdr:cNvSpPr/>
      </xdr:nvSpPr>
      <xdr:spPr>
        <a:xfrm>
          <a:off x="13536624340" y="1463729"/>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8</xdr:row>
      <xdr:rowOff>34441</xdr:rowOff>
    </xdr:from>
    <xdr:to>
      <xdr:col>7</xdr:col>
      <xdr:colOff>215253</xdr:colOff>
      <xdr:row>8</xdr:row>
      <xdr:rowOff>185119</xdr:rowOff>
    </xdr:to>
    <xdr:sp macro="" textlink="">
      <xdr:nvSpPr>
        <xdr:cNvPr id="10" name="Rounded Rectangle 9">
          <a:extLst>
            <a:ext uri="{FF2B5EF4-FFF2-40B4-BE49-F238E27FC236}">
              <a16:creationId xmlns:a16="http://schemas.microsoft.com/office/drawing/2014/main" id="{3B9BF0FA-532A-A273-7635-3957306A08F8}"/>
            </a:ext>
          </a:extLst>
        </xdr:cNvPr>
        <xdr:cNvSpPr/>
      </xdr:nvSpPr>
      <xdr:spPr>
        <a:xfrm>
          <a:off x="13536624340" y="166606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38745</xdr:colOff>
      <xdr:row>5</xdr:row>
      <xdr:rowOff>34441</xdr:rowOff>
    </xdr:from>
    <xdr:to>
      <xdr:col>7</xdr:col>
      <xdr:colOff>198033</xdr:colOff>
      <xdr:row>5</xdr:row>
      <xdr:rowOff>185119</xdr:rowOff>
    </xdr:to>
    <xdr:sp macro="" textlink="">
      <xdr:nvSpPr>
        <xdr:cNvPr id="11" name="Rounded Rectangle 10">
          <a:extLst>
            <a:ext uri="{FF2B5EF4-FFF2-40B4-BE49-F238E27FC236}">
              <a16:creationId xmlns:a16="http://schemas.microsoft.com/office/drawing/2014/main" id="{6555755D-05F3-F2AA-98A3-EDCE2C20C5E3}"/>
            </a:ext>
          </a:extLst>
        </xdr:cNvPr>
        <xdr:cNvSpPr/>
      </xdr:nvSpPr>
      <xdr:spPr>
        <a:xfrm>
          <a:off x="13536641560" y="1059051"/>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7</xdr:col>
      <xdr:colOff>60270</xdr:colOff>
      <xdr:row>9</xdr:row>
      <xdr:rowOff>34442</xdr:rowOff>
    </xdr:from>
    <xdr:to>
      <xdr:col>7</xdr:col>
      <xdr:colOff>219558</xdr:colOff>
      <xdr:row>9</xdr:row>
      <xdr:rowOff>185120</xdr:rowOff>
    </xdr:to>
    <xdr:sp macro="" textlink="">
      <xdr:nvSpPr>
        <xdr:cNvPr id="12" name="Rounded Rectangle 11">
          <a:extLst>
            <a:ext uri="{FF2B5EF4-FFF2-40B4-BE49-F238E27FC236}">
              <a16:creationId xmlns:a16="http://schemas.microsoft.com/office/drawing/2014/main" id="{3167E851-FEC0-3769-9EB3-1698EFB12438}"/>
            </a:ext>
          </a:extLst>
        </xdr:cNvPr>
        <xdr:cNvSpPr/>
      </xdr:nvSpPr>
      <xdr:spPr>
        <a:xfrm>
          <a:off x="13536620035" y="186840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7</xdr:col>
      <xdr:colOff>64575</xdr:colOff>
      <xdr:row>10</xdr:row>
      <xdr:rowOff>12916</xdr:rowOff>
    </xdr:from>
    <xdr:to>
      <xdr:col>7</xdr:col>
      <xdr:colOff>223863</xdr:colOff>
      <xdr:row>10</xdr:row>
      <xdr:rowOff>163594</xdr:rowOff>
    </xdr:to>
    <xdr:sp macro="" textlink="">
      <xdr:nvSpPr>
        <xdr:cNvPr id="13" name="Rounded Rectangle 12">
          <a:extLst>
            <a:ext uri="{FF2B5EF4-FFF2-40B4-BE49-F238E27FC236}">
              <a16:creationId xmlns:a16="http://schemas.microsoft.com/office/drawing/2014/main" id="{A3F0EFF1-5BAE-B7B1-8C38-DE76A22C70B9}"/>
            </a:ext>
          </a:extLst>
        </xdr:cNvPr>
        <xdr:cNvSpPr/>
      </xdr:nvSpPr>
      <xdr:spPr>
        <a:xfrm>
          <a:off x="13536615730" y="2062136"/>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7</xdr:col>
      <xdr:colOff>55964</xdr:colOff>
      <xdr:row>6</xdr:row>
      <xdr:rowOff>30136</xdr:rowOff>
    </xdr:from>
    <xdr:to>
      <xdr:col>7</xdr:col>
      <xdr:colOff>215252</xdr:colOff>
      <xdr:row>6</xdr:row>
      <xdr:rowOff>180814</xdr:rowOff>
    </xdr:to>
    <xdr:sp macro="" textlink="">
      <xdr:nvSpPr>
        <xdr:cNvPr id="14" name="Rounded Rectangle 13">
          <a:extLst>
            <a:ext uri="{FF2B5EF4-FFF2-40B4-BE49-F238E27FC236}">
              <a16:creationId xmlns:a16="http://schemas.microsoft.com/office/drawing/2014/main" id="{A6C39633-7CD8-62B3-DE07-DEC271AC2073}"/>
            </a:ext>
          </a:extLst>
        </xdr:cNvPr>
        <xdr:cNvSpPr/>
      </xdr:nvSpPr>
      <xdr:spPr>
        <a:xfrm>
          <a:off x="13536624341" y="1257085"/>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xdr:col>
      <xdr:colOff>816429</xdr:colOff>
      <xdr:row>82</xdr:row>
      <xdr:rowOff>231321</xdr:rowOff>
    </xdr:from>
    <xdr:to>
      <xdr:col>4</xdr:col>
      <xdr:colOff>176893</xdr:colOff>
      <xdr:row>82</xdr:row>
      <xdr:rowOff>390071</xdr:rowOff>
    </xdr:to>
    <xdr:sp macro="" textlink="">
      <xdr:nvSpPr>
        <xdr:cNvPr id="2" name="Rounded Rectangle 1">
          <a:extLst>
            <a:ext uri="{FF2B5EF4-FFF2-40B4-BE49-F238E27FC236}">
              <a16:creationId xmlns:a16="http://schemas.microsoft.com/office/drawing/2014/main" id="{FE702B5B-9CC3-65FF-D058-68210B1F21CD}"/>
            </a:ext>
          </a:extLst>
        </xdr:cNvPr>
        <xdr:cNvSpPr/>
      </xdr:nvSpPr>
      <xdr:spPr>
        <a:xfrm>
          <a:off x="13521513107" y="16968107"/>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4536</xdr:colOff>
      <xdr:row>82</xdr:row>
      <xdr:rowOff>217712</xdr:rowOff>
    </xdr:from>
    <xdr:to>
      <xdr:col>3</xdr:col>
      <xdr:colOff>154215</xdr:colOff>
      <xdr:row>82</xdr:row>
      <xdr:rowOff>394605</xdr:rowOff>
    </xdr:to>
    <xdr:sp macro="" textlink="">
      <xdr:nvSpPr>
        <xdr:cNvPr id="3" name="Rounded Rectangle 2">
          <a:extLst>
            <a:ext uri="{FF2B5EF4-FFF2-40B4-BE49-F238E27FC236}">
              <a16:creationId xmlns:a16="http://schemas.microsoft.com/office/drawing/2014/main" id="{99328963-8AB8-1653-D23D-CB54149D7A94}"/>
            </a:ext>
          </a:extLst>
        </xdr:cNvPr>
        <xdr:cNvSpPr/>
      </xdr:nvSpPr>
      <xdr:spPr>
        <a:xfrm>
          <a:off x="13522361285" y="16954498"/>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2</xdr:col>
      <xdr:colOff>1</xdr:colOff>
      <xdr:row>82</xdr:row>
      <xdr:rowOff>222250</xdr:rowOff>
    </xdr:from>
    <xdr:to>
      <xdr:col>2</xdr:col>
      <xdr:colOff>185965</xdr:colOff>
      <xdr:row>82</xdr:row>
      <xdr:rowOff>381000</xdr:rowOff>
    </xdr:to>
    <xdr:sp macro="" textlink="">
      <xdr:nvSpPr>
        <xdr:cNvPr id="4" name="Rounded Rectangle 3">
          <a:extLst>
            <a:ext uri="{FF2B5EF4-FFF2-40B4-BE49-F238E27FC236}">
              <a16:creationId xmlns:a16="http://schemas.microsoft.com/office/drawing/2014/main" id="{56E1DED0-2387-0453-128C-FF6EE3F4AAA6}"/>
            </a:ext>
          </a:extLst>
        </xdr:cNvPr>
        <xdr:cNvSpPr/>
      </xdr:nvSpPr>
      <xdr:spPr>
        <a:xfrm>
          <a:off x="13523155035" y="16959036"/>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xdr:col>
      <xdr:colOff>811893</xdr:colOff>
      <xdr:row>84</xdr:row>
      <xdr:rowOff>9069</xdr:rowOff>
    </xdr:from>
    <xdr:to>
      <xdr:col>2</xdr:col>
      <xdr:colOff>136072</xdr:colOff>
      <xdr:row>84</xdr:row>
      <xdr:rowOff>185962</xdr:rowOff>
    </xdr:to>
    <xdr:sp macro="" textlink="">
      <xdr:nvSpPr>
        <xdr:cNvPr id="5" name="Rounded Rectangle 4">
          <a:extLst>
            <a:ext uri="{FF2B5EF4-FFF2-40B4-BE49-F238E27FC236}">
              <a16:creationId xmlns:a16="http://schemas.microsoft.com/office/drawing/2014/main" id="{07C6A966-8588-BCF2-78E3-234225B9F79D}"/>
            </a:ext>
          </a:extLst>
        </xdr:cNvPr>
        <xdr:cNvSpPr/>
      </xdr:nvSpPr>
      <xdr:spPr>
        <a:xfrm>
          <a:off x="13523204928" y="17344569"/>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xdr:col>
      <xdr:colOff>816430</xdr:colOff>
      <xdr:row>81</xdr:row>
      <xdr:rowOff>294822</xdr:rowOff>
    </xdr:from>
    <xdr:to>
      <xdr:col>2</xdr:col>
      <xdr:colOff>176894</xdr:colOff>
      <xdr:row>82</xdr:row>
      <xdr:rowOff>45358</xdr:rowOff>
    </xdr:to>
    <xdr:sp macro="" textlink="">
      <xdr:nvSpPr>
        <xdr:cNvPr id="6" name="Rounded Rectangle 5">
          <a:extLst>
            <a:ext uri="{FF2B5EF4-FFF2-40B4-BE49-F238E27FC236}">
              <a16:creationId xmlns:a16="http://schemas.microsoft.com/office/drawing/2014/main" id="{4F75986A-65D1-74CF-57C3-89E3D4CB8077}"/>
            </a:ext>
          </a:extLst>
        </xdr:cNvPr>
        <xdr:cNvSpPr/>
      </xdr:nvSpPr>
      <xdr:spPr>
        <a:xfrm>
          <a:off x="13523164106" y="16827501"/>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9</xdr:col>
      <xdr:colOff>629708</xdr:colOff>
      <xdr:row>118</xdr:row>
      <xdr:rowOff>100542</xdr:rowOff>
    </xdr:from>
    <xdr:to>
      <xdr:col>10</xdr:col>
      <xdr:colOff>74083</xdr:colOff>
      <xdr:row>120</xdr:row>
      <xdr:rowOff>42334</xdr:rowOff>
    </xdr:to>
    <xdr:cxnSp macro="">
      <xdr:nvCxnSpPr>
        <xdr:cNvPr id="8" name="Straight Arrow Connector 7">
          <a:extLst>
            <a:ext uri="{FF2B5EF4-FFF2-40B4-BE49-F238E27FC236}">
              <a16:creationId xmlns:a16="http://schemas.microsoft.com/office/drawing/2014/main" id="{A9E5DCBB-CC8F-D12A-36DB-EA34FFFA3436}"/>
            </a:ext>
          </a:extLst>
        </xdr:cNvPr>
        <xdr:cNvCxnSpPr/>
      </xdr:nvCxnSpPr>
      <xdr:spPr>
        <a:xfrm>
          <a:off x="13516662917" y="2474383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619126</xdr:colOff>
      <xdr:row>118</xdr:row>
      <xdr:rowOff>126999</xdr:rowOff>
    </xdr:from>
    <xdr:to>
      <xdr:col>9</xdr:col>
      <xdr:colOff>63501</xdr:colOff>
      <xdr:row>120</xdr:row>
      <xdr:rowOff>68791</xdr:rowOff>
    </xdr:to>
    <xdr:cxnSp macro="">
      <xdr:nvCxnSpPr>
        <xdr:cNvPr id="9" name="Straight Arrow Connector 8">
          <a:extLst>
            <a:ext uri="{FF2B5EF4-FFF2-40B4-BE49-F238E27FC236}">
              <a16:creationId xmlns:a16="http://schemas.microsoft.com/office/drawing/2014/main" id="{92D4848F-047C-096A-006E-B71B33960F67}"/>
            </a:ext>
          </a:extLst>
        </xdr:cNvPr>
        <xdr:cNvCxnSpPr/>
      </xdr:nvCxnSpPr>
      <xdr:spPr>
        <a:xfrm>
          <a:off x="13517498999" y="24770291"/>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619125</xdr:colOff>
      <xdr:row>118</xdr:row>
      <xdr:rowOff>132291</xdr:rowOff>
    </xdr:from>
    <xdr:to>
      <xdr:col>8</xdr:col>
      <xdr:colOff>63500</xdr:colOff>
      <xdr:row>120</xdr:row>
      <xdr:rowOff>74083</xdr:rowOff>
    </xdr:to>
    <xdr:cxnSp macro="">
      <xdr:nvCxnSpPr>
        <xdr:cNvPr id="10" name="Straight Arrow Connector 9">
          <a:extLst>
            <a:ext uri="{FF2B5EF4-FFF2-40B4-BE49-F238E27FC236}">
              <a16:creationId xmlns:a16="http://schemas.microsoft.com/office/drawing/2014/main" id="{D3F0DB2E-C74B-AD01-BB07-B14BDBD42E67}"/>
            </a:ext>
          </a:extLst>
        </xdr:cNvPr>
        <xdr:cNvCxnSpPr/>
      </xdr:nvCxnSpPr>
      <xdr:spPr>
        <a:xfrm>
          <a:off x="13518324500" y="24775583"/>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635000</xdr:colOff>
      <xdr:row>118</xdr:row>
      <xdr:rowOff>137582</xdr:rowOff>
    </xdr:from>
    <xdr:to>
      <xdr:col>7</xdr:col>
      <xdr:colOff>79375</xdr:colOff>
      <xdr:row>120</xdr:row>
      <xdr:rowOff>79374</xdr:rowOff>
    </xdr:to>
    <xdr:cxnSp macro="">
      <xdr:nvCxnSpPr>
        <xdr:cNvPr id="11" name="Straight Arrow Connector 10">
          <a:extLst>
            <a:ext uri="{FF2B5EF4-FFF2-40B4-BE49-F238E27FC236}">
              <a16:creationId xmlns:a16="http://schemas.microsoft.com/office/drawing/2014/main" id="{792A59FD-9CF5-41FD-31A2-13485170ACFC}"/>
            </a:ext>
          </a:extLst>
        </xdr:cNvPr>
        <xdr:cNvCxnSpPr/>
      </xdr:nvCxnSpPr>
      <xdr:spPr>
        <a:xfrm>
          <a:off x="13519134125" y="2478087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816428</xdr:colOff>
      <xdr:row>150</xdr:row>
      <xdr:rowOff>108857</xdr:rowOff>
    </xdr:from>
    <xdr:to>
      <xdr:col>4</xdr:col>
      <xdr:colOff>798286</xdr:colOff>
      <xdr:row>150</xdr:row>
      <xdr:rowOff>117928</xdr:rowOff>
    </xdr:to>
    <xdr:cxnSp macro="">
      <xdr:nvCxnSpPr>
        <xdr:cNvPr id="13" name="Straight Arrow Connector 12">
          <a:extLst>
            <a:ext uri="{FF2B5EF4-FFF2-40B4-BE49-F238E27FC236}">
              <a16:creationId xmlns:a16="http://schemas.microsoft.com/office/drawing/2014/main" id="{6E60EA91-16C0-5F7E-2E4F-6E14944ED2C6}"/>
            </a:ext>
          </a:extLst>
        </xdr:cNvPr>
        <xdr:cNvCxnSpPr/>
      </xdr:nvCxnSpPr>
      <xdr:spPr>
        <a:xfrm flipV="1">
          <a:off x="13520891714" y="31654750"/>
          <a:ext cx="1632858" cy="907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412750</xdr:colOff>
      <xdr:row>156</xdr:row>
      <xdr:rowOff>9071</xdr:rowOff>
    </xdr:from>
    <xdr:to>
      <xdr:col>1</xdr:col>
      <xdr:colOff>417285</xdr:colOff>
      <xdr:row>158</xdr:row>
      <xdr:rowOff>136071</xdr:rowOff>
    </xdr:to>
    <xdr:cxnSp macro="">
      <xdr:nvCxnSpPr>
        <xdr:cNvPr id="14" name="Straight Arrow Connector 13">
          <a:extLst>
            <a:ext uri="{FF2B5EF4-FFF2-40B4-BE49-F238E27FC236}">
              <a16:creationId xmlns:a16="http://schemas.microsoft.com/office/drawing/2014/main" id="{BA681D3C-66C0-51F6-CD0E-7A501FC6B338}"/>
            </a:ext>
          </a:extLst>
        </xdr:cNvPr>
        <xdr:cNvCxnSpPr/>
      </xdr:nvCxnSpPr>
      <xdr:spPr>
        <a:xfrm>
          <a:off x="13523776429" y="32779607"/>
          <a:ext cx="4535" cy="53521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oneCellAnchor>
    <xdr:from>
      <xdr:col>4</xdr:col>
      <xdr:colOff>453844</xdr:colOff>
      <xdr:row>51</xdr:row>
      <xdr:rowOff>27154</xdr:rowOff>
    </xdr:from>
    <xdr:ext cx="2301753" cy="32739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522183</xdr:colOff>
      <xdr:row>53</xdr:row>
      <xdr:rowOff>104515</xdr:rowOff>
    </xdr:from>
    <xdr:ext cx="3110166"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=4,000∗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4%</m:t>
                                </m:r>
                              </m:e>
                            </m:d>
                          </m:e>
                          <m:sup>
                            <m:r>
                              <a:rPr lang="he-IL" sz="1100" b="0" i="1">
                                <a:latin typeface="Cambria Math" panose="02040503050406030204" pitchFamily="18" charset="0"/>
                              </a:rPr>
                              <m:t>7</m:t>
                            </m:r>
                          </m:sup>
                        </m:sSup>
                        <m:r>
                          <a:rPr lang="en-US" sz="1100" b="0" i="1">
                            <a:latin typeface="Cambria Math" panose="02040503050406030204" pitchFamily="18" charset="0"/>
                          </a:rPr>
                          <m:t>−1</m:t>
                        </m:r>
                      </m:num>
                      <m:den>
                        <m:r>
                          <a:rPr lang="he-IL" sz="1100" b="0" i="1">
                            <a:latin typeface="Cambria Math" panose="02040503050406030204" pitchFamily="18" charset="0"/>
                          </a:rPr>
                          <m:t>4%</m:t>
                        </m:r>
                      </m:den>
                    </m:f>
                    <m:r>
                      <a:rPr lang="he-IL" sz="1100" b="0" i="1">
                        <a:latin typeface="Cambria Math" panose="02040503050406030204" pitchFamily="18" charset="0"/>
                      </a:rPr>
                      <m:t>=31,593.18</m:t>
                    </m:r>
                  </m:oMath>
                </m:oMathPara>
              </a14:m>
              <a:endParaRPr lang="en-US" sz="1100"/>
            </a:p>
          </xdr:txBody>
        </xdr:sp>
      </mc:Choice>
      <mc:Fallback xmlns="">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4,000</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=31,593.18</a:t>
              </a:r>
              <a:endParaRPr lang="en-US" sz="1100"/>
            </a:p>
          </xdr:txBody>
        </xdr:sp>
      </mc:Fallback>
    </mc:AlternateContent>
    <xdr:clientData/>
  </xdr:oneCellAnchor>
  <xdr:twoCellAnchor>
    <xdr:from>
      <xdr:col>4</xdr:col>
      <xdr:colOff>728277</xdr:colOff>
      <xdr:row>73</xdr:row>
      <xdr:rowOff>165028</xdr:rowOff>
    </xdr:from>
    <xdr:to>
      <xdr:col>5</xdr:col>
      <xdr:colOff>104040</xdr:colOff>
      <xdr:row>75</xdr:row>
      <xdr:rowOff>104040</xdr:rowOff>
    </xdr:to>
    <xdr:cxnSp macro="">
      <xdr:nvCxnSpPr>
        <xdr:cNvPr id="5" name="Straight Arrow Connector 4">
          <a:extLst>
            <a:ext uri="{FF2B5EF4-FFF2-40B4-BE49-F238E27FC236}">
              <a16:creationId xmlns:a16="http://schemas.microsoft.com/office/drawing/2014/main" id="{9690F68D-4E50-0543-9111-88E5BF44EBD3}"/>
            </a:ext>
          </a:extLst>
        </xdr:cNvPr>
        <xdr:cNvCxnSpPr/>
      </xdr:nvCxnSpPr>
      <xdr:spPr>
        <a:xfrm flipV="1">
          <a:off x="13515038644" y="15157486"/>
          <a:ext cx="200904" cy="3587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825141</xdr:colOff>
      <xdr:row>80</xdr:row>
      <xdr:rowOff>0</xdr:rowOff>
    </xdr:from>
    <xdr:ext cx="2301753" cy="32739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789265</xdr:colOff>
      <xdr:row>82</xdr:row>
      <xdr:rowOff>93277</xdr:rowOff>
    </xdr:from>
    <xdr:ext cx="3166358" cy="346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5%</m:t>
                                </m:r>
                              </m:e>
                            </m:d>
                          </m:e>
                          <m:sup>
                            <m:r>
                              <a:rPr lang="he-IL" sz="1100" b="0" i="1">
                                <a:latin typeface="Cambria Math" panose="02040503050406030204" pitchFamily="18" charset="0"/>
                              </a:rPr>
                              <m:t>3</m:t>
                            </m:r>
                          </m:sup>
                        </m:sSup>
                        <m:r>
                          <a:rPr lang="en-US" sz="1100" b="0" i="1">
                            <a:latin typeface="Cambria Math" panose="02040503050406030204" pitchFamily="18" charset="0"/>
                          </a:rPr>
                          <m:t>−1</m:t>
                        </m:r>
                      </m:num>
                      <m:den>
                        <m:r>
                          <a:rPr lang="he-IL" sz="1100" b="0" i="1">
                            <a:latin typeface="Cambria Math" panose="02040503050406030204" pitchFamily="18" charset="0"/>
                          </a:rPr>
                          <m:t>5%</m:t>
                        </m:r>
                      </m:den>
                    </m:f>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1+5%</m:t>
                            </m:r>
                          </m:e>
                        </m:d>
                      </m:e>
                      <m:sup>
                        <m:r>
                          <a:rPr lang="he-IL" sz="1100" b="0" i="1">
                            <a:latin typeface="Cambria Math" panose="02040503050406030204" pitchFamily="18" charset="0"/>
                          </a:rPr>
                          <m:t>6</m:t>
                        </m:r>
                      </m:sup>
                    </m:sSup>
                    <m:r>
                      <a:rPr lang="he-IL" sz="1100" b="0" i="1">
                        <a:latin typeface="Cambria Math" panose="02040503050406030204" pitchFamily="18" charset="0"/>
                      </a:rPr>
                      <m:t>=</m:t>
                    </m:r>
                  </m:oMath>
                </m:oMathPara>
              </a14:m>
              <a:endParaRPr lang="en-US" sz="1100"/>
            </a:p>
          </xdr:txBody>
        </xdr:sp>
      </mc:Choice>
      <mc:Fallback xmlns="">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∗(1+5%)^6=</a:t>
              </a:r>
              <a:endParaRPr lang="en-US" sz="1100"/>
            </a:p>
          </xdr:txBody>
        </xdr:sp>
      </mc:Fallback>
    </mc:AlternateContent>
    <xdr:clientData/>
  </xdr:oneCellAnchor>
  <xdr:twoCellAnchor>
    <xdr:from>
      <xdr:col>6</xdr:col>
      <xdr:colOff>46639</xdr:colOff>
      <xdr:row>84</xdr:row>
      <xdr:rowOff>104039</xdr:rowOff>
    </xdr:from>
    <xdr:to>
      <xdr:col>6</xdr:col>
      <xdr:colOff>46639</xdr:colOff>
      <xdr:row>85</xdr:row>
      <xdr:rowOff>154266</xdr:rowOff>
    </xdr:to>
    <xdr:cxnSp macro="">
      <xdr:nvCxnSpPr>
        <xdr:cNvPr id="8" name="Straight Arrow Connector 7">
          <a:extLst>
            <a:ext uri="{FF2B5EF4-FFF2-40B4-BE49-F238E27FC236}">
              <a16:creationId xmlns:a16="http://schemas.microsoft.com/office/drawing/2014/main" id="{74EDDB0C-78AC-7E2A-CA82-61E9D006F21C}"/>
            </a:ext>
          </a:extLst>
        </xdr:cNvPr>
        <xdr:cNvCxnSpPr/>
      </xdr:nvCxnSpPr>
      <xdr:spPr>
        <a:xfrm>
          <a:off x="13514270904" y="17367429"/>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760565</xdr:colOff>
      <xdr:row>84</xdr:row>
      <xdr:rowOff>75338</xdr:rowOff>
    </xdr:from>
    <xdr:to>
      <xdr:col>4</xdr:col>
      <xdr:colOff>760565</xdr:colOff>
      <xdr:row>85</xdr:row>
      <xdr:rowOff>125565</xdr:rowOff>
    </xdr:to>
    <xdr:cxnSp macro="">
      <xdr:nvCxnSpPr>
        <xdr:cNvPr id="11" name="Straight Arrow Connector 10">
          <a:extLst>
            <a:ext uri="{FF2B5EF4-FFF2-40B4-BE49-F238E27FC236}">
              <a16:creationId xmlns:a16="http://schemas.microsoft.com/office/drawing/2014/main" id="{EBE02049-2D20-FFD2-9FD3-76BF79B3E054}"/>
            </a:ext>
          </a:extLst>
        </xdr:cNvPr>
        <xdr:cNvCxnSpPr/>
      </xdr:nvCxnSpPr>
      <xdr:spPr>
        <a:xfrm>
          <a:off x="13515207260" y="17338728"/>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642987</xdr:colOff>
      <xdr:row>103</xdr:row>
      <xdr:rowOff>131792</xdr:rowOff>
    </xdr:from>
    <xdr:to>
      <xdr:col>6</xdr:col>
      <xdr:colOff>83868</xdr:colOff>
      <xdr:row>105</xdr:row>
      <xdr:rowOff>83868</xdr:rowOff>
    </xdr:to>
    <xdr:cxnSp macro="">
      <xdr:nvCxnSpPr>
        <xdr:cNvPr id="15" name="Straight Arrow Connector 14">
          <a:extLst>
            <a:ext uri="{FF2B5EF4-FFF2-40B4-BE49-F238E27FC236}">
              <a16:creationId xmlns:a16="http://schemas.microsoft.com/office/drawing/2014/main" id="{F89355B6-F7FE-A04A-0731-8531D0A614DF}"/>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642987</xdr:colOff>
      <xdr:row>103</xdr:row>
      <xdr:rowOff>131792</xdr:rowOff>
    </xdr:from>
    <xdr:to>
      <xdr:col>1</xdr:col>
      <xdr:colOff>83868</xdr:colOff>
      <xdr:row>105</xdr:row>
      <xdr:rowOff>83868</xdr:rowOff>
    </xdr:to>
    <xdr:cxnSp macro="">
      <xdr:nvCxnSpPr>
        <xdr:cNvPr id="16" name="Straight Arrow Connector 15">
          <a:extLst>
            <a:ext uri="{FF2B5EF4-FFF2-40B4-BE49-F238E27FC236}">
              <a16:creationId xmlns:a16="http://schemas.microsoft.com/office/drawing/2014/main" id="{63F83C0C-AB32-8D45-809B-39F63BA54666}"/>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790754</xdr:colOff>
      <xdr:row>129</xdr:row>
      <xdr:rowOff>115817</xdr:rowOff>
    </xdr:from>
    <xdr:to>
      <xdr:col>6</xdr:col>
      <xdr:colOff>670942</xdr:colOff>
      <xdr:row>129</xdr:row>
      <xdr:rowOff>139779</xdr:rowOff>
    </xdr:to>
    <xdr:cxnSp macro="">
      <xdr:nvCxnSpPr>
        <xdr:cNvPr id="18" name="Straight Arrow Connector 17">
          <a:extLst>
            <a:ext uri="{FF2B5EF4-FFF2-40B4-BE49-F238E27FC236}">
              <a16:creationId xmlns:a16="http://schemas.microsoft.com/office/drawing/2014/main" id="{1A5B3FBD-7F6A-C16A-926A-BA5B3E9D3840}"/>
            </a:ext>
          </a:extLst>
        </xdr:cNvPr>
        <xdr:cNvCxnSpPr/>
      </xdr:nvCxnSpPr>
      <xdr:spPr>
        <a:xfrm>
          <a:off x="13539142517" y="26330534"/>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403363</xdr:colOff>
      <xdr:row>129</xdr:row>
      <xdr:rowOff>29954</xdr:rowOff>
    </xdr:from>
    <xdr:to>
      <xdr:col>5</xdr:col>
      <xdr:colOff>453285</xdr:colOff>
      <xdr:row>130</xdr:row>
      <xdr:rowOff>179717</xdr:rowOff>
    </xdr:to>
    <xdr:sp macro="" textlink="">
      <xdr:nvSpPr>
        <xdr:cNvPr id="19" name="Left Brace 18">
          <a:extLst>
            <a:ext uri="{FF2B5EF4-FFF2-40B4-BE49-F238E27FC236}">
              <a16:creationId xmlns:a16="http://schemas.microsoft.com/office/drawing/2014/main" id="{51BBB001-6B51-6F68-A4DE-C587C50B7816}"/>
            </a:ext>
          </a:extLst>
        </xdr:cNvPr>
        <xdr:cNvSpPr/>
      </xdr:nvSpPr>
      <xdr:spPr>
        <a:xfrm rot="16200000">
          <a:off x="13541275160" y="25156383"/>
          <a:ext cx="353442" cy="2530017"/>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790754</xdr:colOff>
      <xdr:row>133</xdr:row>
      <xdr:rowOff>115817</xdr:rowOff>
    </xdr:from>
    <xdr:to>
      <xdr:col>6</xdr:col>
      <xdr:colOff>670942</xdr:colOff>
      <xdr:row>133</xdr:row>
      <xdr:rowOff>139779</xdr:rowOff>
    </xdr:to>
    <xdr:cxnSp macro="">
      <xdr:nvCxnSpPr>
        <xdr:cNvPr id="20" name="Straight Arrow Connector 19">
          <a:extLst>
            <a:ext uri="{FF2B5EF4-FFF2-40B4-BE49-F238E27FC236}">
              <a16:creationId xmlns:a16="http://schemas.microsoft.com/office/drawing/2014/main" id="{C4481353-B391-A340-A440-8A37B7455685}"/>
            </a:ext>
          </a:extLst>
        </xdr:cNvPr>
        <xdr:cNvCxnSpPr/>
      </xdr:nvCxnSpPr>
      <xdr:spPr>
        <a:xfrm>
          <a:off x="13539142517" y="26534213"/>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403222</xdr:colOff>
      <xdr:row>133</xdr:row>
      <xdr:rowOff>5992</xdr:rowOff>
    </xdr:from>
    <xdr:to>
      <xdr:col>6</xdr:col>
      <xdr:colOff>405360</xdr:colOff>
      <xdr:row>134</xdr:row>
      <xdr:rowOff>152399</xdr:rowOff>
    </xdr:to>
    <xdr:sp macro="" textlink="">
      <xdr:nvSpPr>
        <xdr:cNvPr id="21" name="Left Brace 20">
          <a:extLst>
            <a:ext uri="{FF2B5EF4-FFF2-40B4-BE49-F238E27FC236}">
              <a16:creationId xmlns:a16="http://schemas.microsoft.com/office/drawing/2014/main" id="{F47F3919-64FE-2349-90BA-3853736BD47F}"/>
            </a:ext>
          </a:extLst>
        </xdr:cNvPr>
        <xdr:cNvSpPr/>
      </xdr:nvSpPr>
      <xdr:spPr>
        <a:xfrm rot="16200000">
          <a:off x="13520850555" y="26119477"/>
          <a:ext cx="349607" cy="24786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507201</xdr:colOff>
      <xdr:row>129</xdr:row>
      <xdr:rowOff>123805</xdr:rowOff>
    </xdr:from>
    <xdr:to>
      <xdr:col>6</xdr:col>
      <xdr:colOff>327484</xdr:colOff>
      <xdr:row>131</xdr:row>
      <xdr:rowOff>187704</xdr:rowOff>
    </xdr:to>
    <xdr:cxnSp macro="">
      <xdr:nvCxnSpPr>
        <xdr:cNvPr id="23" name="Straight Arrow Connector 22">
          <a:extLst>
            <a:ext uri="{FF2B5EF4-FFF2-40B4-BE49-F238E27FC236}">
              <a16:creationId xmlns:a16="http://schemas.microsoft.com/office/drawing/2014/main" id="{DC40560F-E001-C665-58D8-B9B7AFCB866D}"/>
            </a:ext>
          </a:extLst>
        </xdr:cNvPr>
        <xdr:cNvCxnSpPr/>
      </xdr:nvCxnSpPr>
      <xdr:spPr>
        <a:xfrm flipH="1">
          <a:off x="13539485975" y="2654220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435314</xdr:colOff>
      <xdr:row>130</xdr:row>
      <xdr:rowOff>27956</xdr:rowOff>
    </xdr:from>
    <xdr:to>
      <xdr:col>3</xdr:col>
      <xdr:colOff>255597</xdr:colOff>
      <xdr:row>132</xdr:row>
      <xdr:rowOff>91855</xdr:rowOff>
    </xdr:to>
    <xdr:cxnSp macro="">
      <xdr:nvCxnSpPr>
        <xdr:cNvPr id="24" name="Straight Arrow Connector 23">
          <a:extLst>
            <a:ext uri="{FF2B5EF4-FFF2-40B4-BE49-F238E27FC236}">
              <a16:creationId xmlns:a16="http://schemas.microsoft.com/office/drawing/2014/main" id="{BDD5B2DB-DA44-99A2-D58A-FBB3B99020E4}"/>
            </a:ext>
          </a:extLst>
        </xdr:cNvPr>
        <xdr:cNvCxnSpPr/>
      </xdr:nvCxnSpPr>
      <xdr:spPr>
        <a:xfrm flipH="1">
          <a:off x="13542037957" y="2665003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140</xdr:row>
      <xdr:rowOff>131792</xdr:rowOff>
    </xdr:from>
    <xdr:to>
      <xdr:col>5</xdr:col>
      <xdr:colOff>83868</xdr:colOff>
      <xdr:row>142</xdr:row>
      <xdr:rowOff>83868</xdr:rowOff>
    </xdr:to>
    <xdr:cxnSp macro="">
      <xdr:nvCxnSpPr>
        <xdr:cNvPr id="26" name="Straight Arrow Connector 25">
          <a:extLst>
            <a:ext uri="{FF2B5EF4-FFF2-40B4-BE49-F238E27FC236}">
              <a16:creationId xmlns:a16="http://schemas.microsoft.com/office/drawing/2014/main" id="{FADD4ED6-9636-2D42-9E5D-AF21B7BC88C7}"/>
            </a:ext>
          </a:extLst>
        </xdr:cNvPr>
        <xdr:cNvCxnSpPr/>
      </xdr:nvCxnSpPr>
      <xdr:spPr>
        <a:xfrm flipV="1">
          <a:off x="13530904817" y="21084595"/>
          <a:ext cx="267040" cy="3695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160</xdr:row>
      <xdr:rowOff>131792</xdr:rowOff>
    </xdr:from>
    <xdr:to>
      <xdr:col>5</xdr:col>
      <xdr:colOff>83868</xdr:colOff>
      <xdr:row>162</xdr:row>
      <xdr:rowOff>83868</xdr:rowOff>
    </xdr:to>
    <xdr:cxnSp macro="">
      <xdr:nvCxnSpPr>
        <xdr:cNvPr id="28" name="Straight Arrow Connector 27">
          <a:extLst>
            <a:ext uri="{FF2B5EF4-FFF2-40B4-BE49-F238E27FC236}">
              <a16:creationId xmlns:a16="http://schemas.microsoft.com/office/drawing/2014/main" id="{FFCB9507-DC79-FF4D-8391-9C6237093EF6}"/>
            </a:ext>
          </a:extLst>
        </xdr:cNvPr>
        <xdr:cNvCxnSpPr/>
      </xdr:nvCxnSpPr>
      <xdr:spPr>
        <a:xfrm flipV="1">
          <a:off x="13515058816" y="28889758"/>
          <a:ext cx="266022" cy="3718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681790</xdr:colOff>
      <xdr:row>285</xdr:row>
      <xdr:rowOff>120315</xdr:rowOff>
    </xdr:from>
    <xdr:to>
      <xdr:col>4</xdr:col>
      <xdr:colOff>80211</xdr:colOff>
      <xdr:row>287</xdr:row>
      <xdr:rowOff>93579</xdr:rowOff>
    </xdr:to>
    <xdr:cxnSp macro="">
      <xdr:nvCxnSpPr>
        <xdr:cNvPr id="31" name="Straight Arrow Connector 30">
          <a:extLst>
            <a:ext uri="{FF2B5EF4-FFF2-40B4-BE49-F238E27FC236}">
              <a16:creationId xmlns:a16="http://schemas.microsoft.com/office/drawing/2014/main" id="{7F41B53A-9946-410A-FE8A-D8D6DE778ADF}"/>
            </a:ext>
          </a:extLst>
        </xdr:cNvPr>
        <xdr:cNvCxnSpPr/>
      </xdr:nvCxnSpPr>
      <xdr:spPr>
        <a:xfrm flipV="1">
          <a:off x="13521763526" y="45415868"/>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748633</xdr:colOff>
      <xdr:row>285</xdr:row>
      <xdr:rowOff>137026</xdr:rowOff>
    </xdr:from>
    <xdr:to>
      <xdr:col>3</xdr:col>
      <xdr:colOff>147054</xdr:colOff>
      <xdr:row>287</xdr:row>
      <xdr:rowOff>110290</xdr:rowOff>
    </xdr:to>
    <xdr:cxnSp macro="">
      <xdr:nvCxnSpPr>
        <xdr:cNvPr id="32" name="Straight Arrow Connector 31">
          <a:extLst>
            <a:ext uri="{FF2B5EF4-FFF2-40B4-BE49-F238E27FC236}">
              <a16:creationId xmlns:a16="http://schemas.microsoft.com/office/drawing/2014/main" id="{5DAD6269-5B66-B167-33CD-A3608BB8644A}"/>
            </a:ext>
          </a:extLst>
        </xdr:cNvPr>
        <xdr:cNvCxnSpPr/>
      </xdr:nvCxnSpPr>
      <xdr:spPr>
        <a:xfrm flipV="1">
          <a:off x="13522522183" y="45432579"/>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707680</xdr:colOff>
      <xdr:row>298</xdr:row>
      <xdr:rowOff>181624</xdr:rowOff>
    </xdr:from>
    <xdr:ext cx="2160796" cy="331501"/>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0</xdr:col>
      <xdr:colOff>313675</xdr:colOff>
      <xdr:row>301</xdr:row>
      <xdr:rowOff>47738</xdr:rowOff>
    </xdr:from>
    <xdr:ext cx="7432061" cy="34637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500,000=</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500,000=𝑥∗((1+4%)^3−1)/(4%)∗(1+2%)^6∗(1+7%)^11+𝑥∗((1+2%)^6−1)/(2%)∗(1+7%)^11+𝑥∗((1+7%)^11−1)/(7%)</a:t>
              </a:r>
              <a:endParaRPr lang="en-US" sz="1100"/>
            </a:p>
          </xdr:txBody>
        </xdr:sp>
      </mc:Fallback>
    </mc:AlternateContent>
    <xdr:clientData/>
  </xdr:oneCellAnchor>
  <xdr:twoCellAnchor>
    <xdr:from>
      <xdr:col>0</xdr:col>
      <xdr:colOff>476695</xdr:colOff>
      <xdr:row>202</xdr:row>
      <xdr:rowOff>88935</xdr:rowOff>
    </xdr:from>
    <xdr:to>
      <xdr:col>7</xdr:col>
      <xdr:colOff>124510</xdr:colOff>
      <xdr:row>202</xdr:row>
      <xdr:rowOff>99607</xdr:rowOff>
    </xdr:to>
    <xdr:cxnSp macro="">
      <xdr:nvCxnSpPr>
        <xdr:cNvPr id="36" name="Straight Arrow Connector 35">
          <a:extLst>
            <a:ext uri="{FF2B5EF4-FFF2-40B4-BE49-F238E27FC236}">
              <a16:creationId xmlns:a16="http://schemas.microsoft.com/office/drawing/2014/main" id="{D802A5E8-2323-4B4D-A7F1-567D79F9D6F8}"/>
            </a:ext>
          </a:extLst>
        </xdr:cNvPr>
        <xdr:cNvCxnSpPr/>
      </xdr:nvCxnSpPr>
      <xdr:spPr>
        <a:xfrm flipV="1">
          <a:off x="13516328963" y="41305238"/>
          <a:ext cx="5425070" cy="106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382422</xdr:colOff>
      <xdr:row>202</xdr:row>
      <xdr:rowOff>12451</xdr:rowOff>
    </xdr:from>
    <xdr:to>
      <xdr:col>5</xdr:col>
      <xdr:colOff>410881</xdr:colOff>
      <xdr:row>203</xdr:row>
      <xdr:rowOff>190322</xdr:rowOff>
    </xdr:to>
    <xdr:sp macro="" textlink="">
      <xdr:nvSpPr>
        <xdr:cNvPr id="37" name="Left Brace 36">
          <a:extLst>
            <a:ext uri="{FF2B5EF4-FFF2-40B4-BE49-F238E27FC236}">
              <a16:creationId xmlns:a16="http://schemas.microsoft.com/office/drawing/2014/main" id="{3990A363-FC83-B571-7648-3DBE9C42110E}"/>
            </a:ext>
          </a:extLst>
        </xdr:cNvPr>
        <xdr:cNvSpPr/>
      </xdr:nvSpPr>
      <xdr:spPr>
        <a:xfrm rot="16200000">
          <a:off x="13517929805" y="40992185"/>
          <a:ext cx="380644" cy="8537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380641</xdr:colOff>
      <xdr:row>201</xdr:row>
      <xdr:rowOff>200995</xdr:rowOff>
    </xdr:from>
    <xdr:to>
      <xdr:col>3</xdr:col>
      <xdr:colOff>396650</xdr:colOff>
      <xdr:row>203</xdr:row>
      <xdr:rowOff>110280</xdr:rowOff>
    </xdr:to>
    <xdr:sp macro="" textlink="">
      <xdr:nvSpPr>
        <xdr:cNvPr id="38" name="Left Brace 37">
          <a:extLst>
            <a:ext uri="{FF2B5EF4-FFF2-40B4-BE49-F238E27FC236}">
              <a16:creationId xmlns:a16="http://schemas.microsoft.com/office/drawing/2014/main" id="{4F867133-3FB2-ADF1-E591-C29537E9AB38}"/>
            </a:ext>
          </a:extLst>
        </xdr:cNvPr>
        <xdr:cNvSpPr/>
      </xdr:nvSpPr>
      <xdr:spPr>
        <a:xfrm rot="16200000">
          <a:off x="13520034023" y="40538613"/>
          <a:ext cx="314832" cy="166665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727974</xdr:colOff>
      <xdr:row>245</xdr:row>
      <xdr:rowOff>130561</xdr:rowOff>
    </xdr:from>
    <xdr:to>
      <xdr:col>7</xdr:col>
      <xdr:colOff>94953</xdr:colOff>
      <xdr:row>247</xdr:row>
      <xdr:rowOff>87040</xdr:rowOff>
    </xdr:to>
    <xdr:cxnSp macro="">
      <xdr:nvCxnSpPr>
        <xdr:cNvPr id="47" name="Straight Arrow Connector 46">
          <a:extLst>
            <a:ext uri="{FF2B5EF4-FFF2-40B4-BE49-F238E27FC236}">
              <a16:creationId xmlns:a16="http://schemas.microsoft.com/office/drawing/2014/main" id="{3E80551C-3C0D-4174-001F-6B9C0FC2DA57}"/>
            </a:ext>
          </a:extLst>
        </xdr:cNvPr>
        <xdr:cNvCxnSpPr/>
      </xdr:nvCxnSpPr>
      <xdr:spPr>
        <a:xfrm>
          <a:off x="13541946698" y="50689221"/>
          <a:ext cx="193863" cy="3600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462629</xdr:colOff>
      <xdr:row>212</xdr:row>
      <xdr:rowOff>60710</xdr:rowOff>
    </xdr:from>
    <xdr:ext cx="2788604" cy="341953"/>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𝑆𝑒𝑟𝑖𝑒𝑠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𝑟</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𝑃𝑉_𝑆𝑒𝑟𝑖𝑒𝑠=𝑃𝑀𝑇∗1/𝑟∗[1−1/(1+𝑟)^𝑛 ]</a:t>
              </a:r>
              <a:endParaRPr lang="en-US" sz="1100"/>
            </a:p>
          </xdr:txBody>
        </xdr:sp>
      </mc:Fallback>
    </mc:AlternateContent>
    <xdr:clientData/>
  </xdr:oneCellAnchor>
  <xdr:oneCellAnchor>
    <xdr:from>
      <xdr:col>0</xdr:col>
      <xdr:colOff>107951</xdr:colOff>
      <xdr:row>214</xdr:row>
      <xdr:rowOff>93662</xdr:rowOff>
    </xdr:from>
    <xdr:ext cx="3895725" cy="341953"/>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𝑊𝑖𝑡h𝑑𝑟𝑎𝑤𝑙𝑠</m:t>
                        </m:r>
                      </m:sub>
                    </m:sSub>
                    <m:r>
                      <a:rPr lang="en-US" sz="1100" b="0" i="1">
                        <a:latin typeface="Cambria Math" panose="02040503050406030204" pitchFamily="18" charset="0"/>
                      </a:rPr>
                      <m:t>=19,000∗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0">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25</m:t>
                                </m:r>
                              </m:sup>
                            </m:sSup>
                          </m:den>
                        </m:f>
                      </m:e>
                    </m:d>
                    <m:r>
                      <a:rPr lang="en-US" sz="1100" b="0" i="1">
                        <a:latin typeface="Cambria Math" panose="02040503050406030204" pitchFamily="18" charset="0"/>
                      </a:rPr>
                      <m:t>=242,884 </m:t>
                    </m:r>
                  </m:oMath>
                </m:oMathPara>
              </a14:m>
              <a:endParaRPr lang="en-US" sz="1100"/>
            </a:p>
          </xdr:txBody>
        </xdr:sp>
      </mc:Choice>
      <mc:Fallback xmlns="">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𝑃𝑉_𝑊𝑖𝑡ℎ𝑑𝑟𝑎𝑤𝑙𝑠=19,000∗1/(6%)∗[1−1/(1+6%)^25 ]=242,884 </a:t>
              </a:r>
              <a:endParaRPr lang="en-US" sz="1100"/>
            </a:p>
          </xdr:txBody>
        </xdr:sp>
      </mc:Fallback>
    </mc:AlternateContent>
    <xdr:clientData/>
  </xdr:oneCellAnchor>
  <xdr:twoCellAnchor>
    <xdr:from>
      <xdr:col>1</xdr:col>
      <xdr:colOff>620977</xdr:colOff>
      <xdr:row>207</xdr:row>
      <xdr:rowOff>200317</xdr:rowOff>
    </xdr:from>
    <xdr:to>
      <xdr:col>2</xdr:col>
      <xdr:colOff>108170</xdr:colOff>
      <xdr:row>210</xdr:row>
      <xdr:rowOff>116183</xdr:rowOff>
    </xdr:to>
    <xdr:sp macro="" textlink="">
      <xdr:nvSpPr>
        <xdr:cNvPr id="10" name="Down Arrow 9">
          <a:extLst>
            <a:ext uri="{FF2B5EF4-FFF2-40B4-BE49-F238E27FC236}">
              <a16:creationId xmlns:a16="http://schemas.microsoft.com/office/drawing/2014/main" id="{954DA745-99B0-F119-395A-4151CB65F93F}"/>
            </a:ext>
          </a:extLst>
        </xdr:cNvPr>
        <xdr:cNvSpPr/>
      </xdr:nvSpPr>
      <xdr:spPr>
        <a:xfrm>
          <a:off x="13520167603" y="42711263"/>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380599</xdr:colOff>
      <xdr:row>208</xdr:row>
      <xdr:rowOff>84134</xdr:rowOff>
    </xdr:from>
    <xdr:to>
      <xdr:col>5</xdr:col>
      <xdr:colOff>693091</xdr:colOff>
      <xdr:row>211</xdr:row>
      <xdr:rowOff>1</xdr:rowOff>
    </xdr:to>
    <xdr:sp macro="" textlink="">
      <xdr:nvSpPr>
        <xdr:cNvPr id="12" name="Down Arrow 11">
          <a:extLst>
            <a:ext uri="{FF2B5EF4-FFF2-40B4-BE49-F238E27FC236}">
              <a16:creationId xmlns:a16="http://schemas.microsoft.com/office/drawing/2014/main" id="{1EB5B19F-AB04-F16C-C939-D11CED6531EB}"/>
            </a:ext>
          </a:extLst>
        </xdr:cNvPr>
        <xdr:cNvSpPr/>
      </xdr:nvSpPr>
      <xdr:spPr>
        <a:xfrm>
          <a:off x="13517042682" y="42799402"/>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322409</xdr:colOff>
      <xdr:row>214</xdr:row>
      <xdr:rowOff>132823</xdr:rowOff>
    </xdr:from>
    <xdr:ext cx="2788604" cy="33150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𝐹𝑉_𝑆𝐸𝑅𝐼𝐸𝑆=𝑃𝑀𝑇∗((1+𝑟)^𝑛−1)/𝑟</a:t>
              </a:r>
              <a:endParaRPr lang="en-US" sz="1100"/>
            </a:p>
          </xdr:txBody>
        </xdr:sp>
      </mc:Fallback>
    </mc:AlternateContent>
    <xdr:clientData/>
  </xdr:oneCellAnchor>
  <xdr:oneCellAnchor>
    <xdr:from>
      <xdr:col>4</xdr:col>
      <xdr:colOff>568896</xdr:colOff>
      <xdr:row>216</xdr:row>
      <xdr:rowOff>116799</xdr:rowOff>
    </xdr:from>
    <xdr:ext cx="3647859" cy="34637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𝐷𝑒𝑝𝑜𝑠𝑖𝑡𝑠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22</m:t>
                            </m:r>
                          </m:sup>
                        </m:sSup>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𝑃𝑀𝑇</m:t>
                    </m:r>
                    <m:r>
                      <a:rPr lang="en-US" sz="1100" b="0" i="1">
                        <a:solidFill>
                          <a:srgbClr val="FF0000"/>
                        </a:solidFill>
                        <a:latin typeface="Cambria Math" panose="02040503050406030204" pitchFamily="18" charset="0"/>
                      </a:rPr>
                      <m:t>∗43.39</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𝐹𝑉_𝐷𝑒𝑝𝑜𝑠𝑖𝑡𝑠=𝑃𝑀𝑇∗((1+6%)^22−1)/(6%)=</a:t>
              </a:r>
              <a:r>
                <a:rPr lang="en-US" sz="1100" b="0" i="0">
                  <a:solidFill>
                    <a:srgbClr val="FF0000"/>
                  </a:solidFill>
                  <a:latin typeface="Cambria Math" panose="02040503050406030204" pitchFamily="18" charset="0"/>
                </a:rPr>
                <a:t>𝑃𝑀𝑇∗43.39</a:t>
              </a:r>
              <a:endParaRPr lang="en-US" sz="1100"/>
            </a:p>
          </xdr:txBody>
        </xdr:sp>
      </mc:Fallback>
    </mc:AlternateContent>
    <xdr:clientData/>
  </xdr:oneCellAnchor>
  <xdr:oneCellAnchor>
    <xdr:from>
      <xdr:col>4</xdr:col>
      <xdr:colOff>717129</xdr:colOff>
      <xdr:row>221</xdr:row>
      <xdr:rowOff>120805</xdr:rowOff>
    </xdr:from>
    <xdr:ext cx="3647859" cy="173766"/>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𝑃𝑀𝑇</m:t>
                    </m:r>
                    <m:r>
                      <a:rPr lang="en-US" sz="1100" b="0" i="1">
                        <a:solidFill>
                          <a:sysClr val="windowText" lastClr="000000"/>
                        </a:solidFill>
                        <a:latin typeface="Cambria Math" panose="02040503050406030204" pitchFamily="18" charset="0"/>
                      </a:rPr>
                      <m:t>∗43.39=242,884→</m:t>
                    </m:r>
                    <m:r>
                      <m:rPr>
                        <m:sty m:val="p"/>
                      </m:rPr>
                      <a:rPr lang="en-US" sz="1100" b="0" i="0">
                        <a:solidFill>
                          <a:sysClr val="windowText" lastClr="000000"/>
                        </a:solidFill>
                        <a:latin typeface="Cambria Math" panose="02040503050406030204" pitchFamily="18" charset="0"/>
                      </a:rPr>
                      <m:t>PMT</m:t>
                    </m:r>
                    <m:r>
                      <a:rPr lang="en-US" sz="1100" b="0" i="0">
                        <a:solidFill>
                          <a:sysClr val="windowText" lastClr="000000"/>
                        </a:solidFill>
                        <a:latin typeface="Cambria Math" panose="02040503050406030204" pitchFamily="18" charset="0"/>
                      </a:rPr>
                      <m:t>=5,598</m:t>
                    </m:r>
                  </m:oMath>
                </m:oMathPara>
              </a14:m>
              <a:endParaRPr lang="en-US" sz="1100">
                <a:solidFill>
                  <a:sysClr val="windowText" lastClr="000000"/>
                </a:solidFill>
              </a:endParaRPr>
            </a:p>
          </xdr:txBody>
        </xdr:sp>
      </mc:Choice>
      <mc:Fallback xmlns="">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ysClr val="windowText" lastClr="000000"/>
                  </a:solidFill>
                  <a:latin typeface="Cambria Math" panose="02040503050406030204" pitchFamily="18" charset="0"/>
                </a:rPr>
                <a:t>𝑃𝑀𝑇∗43.39</a:t>
              </a:r>
              <a:r>
                <a:rPr lang="he-IL" sz="1100" b="0" i="0">
                  <a:solidFill>
                    <a:sysClr val="windowText" lastClr="000000"/>
                  </a:solidFill>
                  <a:latin typeface="Cambria Math" panose="02040503050406030204" pitchFamily="18" charset="0"/>
                </a:rPr>
                <a:t>=242,884</a:t>
              </a:r>
              <a:r>
                <a:rPr lang="en-US" sz="1100" b="0" i="0">
                  <a:solidFill>
                    <a:sysClr val="windowText" lastClr="000000"/>
                  </a:solidFill>
                  <a:latin typeface="Cambria Math" panose="02040503050406030204" pitchFamily="18" charset="0"/>
                </a:rPr>
                <a:t>→PMT=5,598</a:t>
              </a:r>
              <a:endParaRPr lang="en-US" sz="1100">
                <a:solidFill>
                  <a:sysClr val="windowText" lastClr="000000"/>
                </a:solidFill>
              </a:endParaRPr>
            </a:p>
          </xdr:txBody>
        </xdr:sp>
      </mc:Fallback>
    </mc:AlternateContent>
    <xdr:clientData/>
  </xdr:oneCellAnchor>
  <xdr:twoCellAnchor>
    <xdr:from>
      <xdr:col>3</xdr:col>
      <xdr:colOff>52083</xdr:colOff>
      <xdr:row>229</xdr:row>
      <xdr:rowOff>104165</xdr:rowOff>
    </xdr:from>
    <xdr:to>
      <xdr:col>4</xdr:col>
      <xdr:colOff>316499</xdr:colOff>
      <xdr:row>229</xdr:row>
      <xdr:rowOff>112177</xdr:rowOff>
    </xdr:to>
    <xdr:cxnSp macro="">
      <xdr:nvCxnSpPr>
        <xdr:cNvPr id="25" name="Straight Connector 24">
          <a:extLst>
            <a:ext uri="{FF2B5EF4-FFF2-40B4-BE49-F238E27FC236}">
              <a16:creationId xmlns:a16="http://schemas.microsoft.com/office/drawing/2014/main" id="{9ED9DD02-8B6D-9038-C0D2-4B394BDE7CC7}"/>
            </a:ext>
          </a:extLst>
        </xdr:cNvPr>
        <xdr:cNvCxnSpPr/>
      </xdr:nvCxnSpPr>
      <xdr:spPr>
        <a:xfrm flipH="1" flipV="1">
          <a:off x="13518308674" y="47110190"/>
          <a:ext cx="1089716" cy="8012"/>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332523</xdr:colOff>
      <xdr:row>231</xdr:row>
      <xdr:rowOff>104165</xdr:rowOff>
    </xdr:from>
    <xdr:to>
      <xdr:col>4</xdr:col>
      <xdr:colOff>769211</xdr:colOff>
      <xdr:row>231</xdr:row>
      <xdr:rowOff>112176</xdr:rowOff>
    </xdr:to>
    <xdr:cxnSp macro="">
      <xdr:nvCxnSpPr>
        <xdr:cNvPr id="27" name="Straight Connector 26">
          <a:extLst>
            <a:ext uri="{FF2B5EF4-FFF2-40B4-BE49-F238E27FC236}">
              <a16:creationId xmlns:a16="http://schemas.microsoft.com/office/drawing/2014/main" id="{912260E3-C551-651B-DA9A-6D1DC35D6B62}"/>
            </a:ext>
          </a:extLst>
        </xdr:cNvPr>
        <xdr:cNvCxnSpPr/>
      </xdr:nvCxnSpPr>
      <xdr:spPr>
        <a:xfrm flipH="1" flipV="1">
          <a:off x="13517855962" y="47518834"/>
          <a:ext cx="436688" cy="801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324511</xdr:colOff>
      <xdr:row>229</xdr:row>
      <xdr:rowOff>104164</xdr:rowOff>
    </xdr:from>
    <xdr:to>
      <xdr:col>4</xdr:col>
      <xdr:colOff>332523</xdr:colOff>
      <xdr:row>231</xdr:row>
      <xdr:rowOff>132208</xdr:rowOff>
    </xdr:to>
    <xdr:cxnSp macro="">
      <xdr:nvCxnSpPr>
        <xdr:cNvPr id="30" name="Straight Connector 29">
          <a:extLst>
            <a:ext uri="{FF2B5EF4-FFF2-40B4-BE49-F238E27FC236}">
              <a16:creationId xmlns:a16="http://schemas.microsoft.com/office/drawing/2014/main" id="{EB3697CF-EDF9-13B7-BB54-FD0ECF3E4A5B}"/>
            </a:ext>
          </a:extLst>
        </xdr:cNvPr>
        <xdr:cNvCxnSpPr/>
      </xdr:nvCxnSpPr>
      <xdr:spPr>
        <a:xfrm flipV="1">
          <a:off x="13518292650" y="47110189"/>
          <a:ext cx="8012" cy="4366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0</xdr:colOff>
      <xdr:row>264</xdr:row>
      <xdr:rowOff>116183</xdr:rowOff>
    </xdr:from>
    <xdr:to>
      <xdr:col>7</xdr:col>
      <xdr:colOff>108170</xdr:colOff>
      <xdr:row>264</xdr:row>
      <xdr:rowOff>116183</xdr:rowOff>
    </xdr:to>
    <xdr:cxnSp macro="">
      <xdr:nvCxnSpPr>
        <xdr:cNvPr id="45" name="Straight Arrow Connector 44">
          <a:extLst>
            <a:ext uri="{FF2B5EF4-FFF2-40B4-BE49-F238E27FC236}">
              <a16:creationId xmlns:a16="http://schemas.microsoft.com/office/drawing/2014/main" id="{EE227377-8F17-94AC-CFC9-3DDBC770E69A}"/>
            </a:ext>
          </a:extLst>
        </xdr:cNvPr>
        <xdr:cNvCxnSpPr/>
      </xdr:nvCxnSpPr>
      <xdr:spPr>
        <a:xfrm>
          <a:off x="13515977003" y="54385647"/>
          <a:ext cx="594936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414653</xdr:colOff>
      <xdr:row>264</xdr:row>
      <xdr:rowOff>30047</xdr:rowOff>
    </xdr:from>
    <xdr:to>
      <xdr:col>5</xdr:col>
      <xdr:colOff>358565</xdr:colOff>
      <xdr:row>265</xdr:row>
      <xdr:rowOff>166262</xdr:rowOff>
    </xdr:to>
    <xdr:sp macro="" textlink="">
      <xdr:nvSpPr>
        <xdr:cNvPr id="46" name="Left Brace 45">
          <a:extLst>
            <a:ext uri="{FF2B5EF4-FFF2-40B4-BE49-F238E27FC236}">
              <a16:creationId xmlns:a16="http://schemas.microsoft.com/office/drawing/2014/main" id="{92DB1936-1868-D450-EAC5-A7E362721131}"/>
            </a:ext>
          </a:extLst>
        </xdr:cNvPr>
        <xdr:cNvSpPr/>
      </xdr:nvSpPr>
      <xdr:spPr>
        <a:xfrm rot="16200000">
          <a:off x="13517623596" y="5405312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128202</xdr:colOff>
      <xdr:row>265</xdr:row>
      <xdr:rowOff>157768</xdr:rowOff>
    </xdr:from>
    <xdr:ext cx="1355968"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4</xdr:col>
      <xdr:colOff>116183</xdr:colOff>
      <xdr:row>266</xdr:row>
      <xdr:rowOff>121711</xdr:rowOff>
    </xdr:from>
    <xdr:ext cx="1355968" cy="173766"/>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=3</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𝑛=3</a:t>
              </a:r>
              <a:endParaRPr lang="en-US" sz="1100"/>
            </a:p>
          </xdr:txBody>
        </xdr:sp>
      </mc:Fallback>
    </mc:AlternateContent>
    <xdr:clientData/>
  </xdr:oneCellAnchor>
  <xdr:oneCellAnchor>
    <xdr:from>
      <xdr:col>4</xdr:col>
      <xdr:colOff>88138</xdr:colOff>
      <xdr:row>267</xdr:row>
      <xdr:rowOff>101679</xdr:rowOff>
    </xdr:from>
    <xdr:ext cx="1355968"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=4%</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𝑟=4%</a:t>
              </a:r>
              <a:endParaRPr lang="en-US" sz="1100"/>
            </a:p>
          </xdr:txBody>
        </xdr:sp>
      </mc:Fallback>
    </mc:AlternateContent>
    <xdr:clientData/>
  </xdr:oneCellAnchor>
  <xdr:twoCellAnchor>
    <xdr:from>
      <xdr:col>2</xdr:col>
      <xdr:colOff>406641</xdr:colOff>
      <xdr:row>263</xdr:row>
      <xdr:rowOff>202319</xdr:rowOff>
    </xdr:from>
    <xdr:to>
      <xdr:col>3</xdr:col>
      <xdr:colOff>414653</xdr:colOff>
      <xdr:row>265</xdr:row>
      <xdr:rowOff>134212</xdr:rowOff>
    </xdr:to>
    <xdr:sp macro="" textlink="">
      <xdr:nvSpPr>
        <xdr:cNvPr id="51" name="Left Brace 50">
          <a:extLst>
            <a:ext uri="{FF2B5EF4-FFF2-40B4-BE49-F238E27FC236}">
              <a16:creationId xmlns:a16="http://schemas.microsoft.com/office/drawing/2014/main" id="{507D2890-5F23-E159-971B-C55AE3656268}"/>
            </a:ext>
          </a:extLst>
        </xdr:cNvPr>
        <xdr:cNvSpPr/>
      </xdr:nvSpPr>
      <xdr:spPr>
        <a:xfrm rot="16200000">
          <a:off x="13519282208" y="5402107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104165</xdr:colOff>
      <xdr:row>265</xdr:row>
      <xdr:rowOff>141743</xdr:rowOff>
    </xdr:from>
    <xdr:ext cx="1355968"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2</xdr:col>
      <xdr:colOff>132209</xdr:colOff>
      <xdr:row>266</xdr:row>
      <xdr:rowOff>141742</xdr:rowOff>
    </xdr:from>
    <xdr:ext cx="1355968" cy="1737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=6</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𝑛=6</a:t>
              </a:r>
              <a:endParaRPr lang="en-US" sz="1100"/>
            </a:p>
          </xdr:txBody>
        </xdr:sp>
      </mc:Fallback>
    </mc:AlternateContent>
    <xdr:clientData/>
  </xdr:oneCellAnchor>
  <xdr:oneCellAnchor>
    <xdr:from>
      <xdr:col>2</xdr:col>
      <xdr:colOff>100157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=2%</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𝑟=2%</a:t>
              </a:r>
              <a:endParaRPr lang="en-US" sz="1100"/>
            </a:p>
          </xdr:txBody>
        </xdr:sp>
      </mc:Fallback>
    </mc:AlternateContent>
    <xdr:clientData/>
  </xdr:oneCellAnchor>
  <xdr:twoCellAnchor>
    <xdr:from>
      <xdr:col>0</xdr:col>
      <xdr:colOff>438692</xdr:colOff>
      <xdr:row>264</xdr:row>
      <xdr:rowOff>22034</xdr:rowOff>
    </xdr:from>
    <xdr:to>
      <xdr:col>1</xdr:col>
      <xdr:colOff>446704</xdr:colOff>
      <xdr:row>265</xdr:row>
      <xdr:rowOff>158249</xdr:rowOff>
    </xdr:to>
    <xdr:sp macro="" textlink="">
      <xdr:nvSpPr>
        <xdr:cNvPr id="55" name="Left Brace 54">
          <a:extLst>
            <a:ext uri="{FF2B5EF4-FFF2-40B4-BE49-F238E27FC236}">
              <a16:creationId xmlns:a16="http://schemas.microsoft.com/office/drawing/2014/main" id="{591E5A58-AEE0-0784-9E73-0B88FB6A786D}"/>
            </a:ext>
          </a:extLst>
        </xdr:cNvPr>
        <xdr:cNvSpPr/>
      </xdr:nvSpPr>
      <xdr:spPr>
        <a:xfrm rot="16200000">
          <a:off x="13520900756" y="54045110"/>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260411</xdr:colOff>
      <xdr:row>265</xdr:row>
      <xdr:rowOff>157768</xdr:rowOff>
    </xdr:from>
    <xdr:ext cx="1355968" cy="173766"/>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0</xdr:col>
      <xdr:colOff>268423</xdr:colOff>
      <xdr:row>266</xdr:row>
      <xdr:rowOff>133729</xdr:rowOff>
    </xdr:from>
    <xdr:ext cx="1355968" cy="173766"/>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0</xdr:col>
      <xdr:colOff>240377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=7%</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𝑟=7%</a:t>
              </a:r>
              <a:endParaRPr lang="en-US" sz="1100"/>
            </a:p>
          </xdr:txBody>
        </xdr:sp>
      </mc:Fallback>
    </mc:AlternateContent>
    <xdr:clientData/>
  </xdr:oneCellAnchor>
  <xdr:twoCellAnchor>
    <xdr:from>
      <xdr:col>0</xdr:col>
      <xdr:colOff>416656</xdr:colOff>
      <xdr:row>264</xdr:row>
      <xdr:rowOff>22034</xdr:rowOff>
    </xdr:from>
    <xdr:to>
      <xdr:col>0</xdr:col>
      <xdr:colOff>438692</xdr:colOff>
      <xdr:row>270</xdr:row>
      <xdr:rowOff>136215</xdr:rowOff>
    </xdr:to>
    <xdr:cxnSp macro="">
      <xdr:nvCxnSpPr>
        <xdr:cNvPr id="61" name="Straight Arrow Connector 60">
          <a:extLst>
            <a:ext uri="{FF2B5EF4-FFF2-40B4-BE49-F238E27FC236}">
              <a16:creationId xmlns:a16="http://schemas.microsoft.com/office/drawing/2014/main" id="{FD6D5E5B-B939-FF51-AE6F-1D86522FD4B1}"/>
            </a:ext>
          </a:extLst>
        </xdr:cNvPr>
        <xdr:cNvCxnSpPr>
          <a:stCxn id="55" idx="2"/>
        </xdr:cNvCxnSpPr>
      </xdr:nvCxnSpPr>
      <xdr:spPr>
        <a:xfrm>
          <a:off x="13521487680" y="54291498"/>
          <a:ext cx="22036" cy="134011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0</xdr:colOff>
      <xdr:row>270</xdr:row>
      <xdr:rowOff>157768</xdr:rowOff>
    </xdr:from>
    <xdr:ext cx="1355968" cy="17376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𝐹𝑉=500,000</a:t>
              </a:r>
              <a:endParaRPr lang="en-US" sz="1100"/>
            </a:p>
          </xdr:txBody>
        </xdr:sp>
      </mc:Fallback>
    </mc:AlternateContent>
    <xdr:clientData/>
  </xdr:oneCellAnchor>
  <xdr:oneCellAnchor>
    <xdr:from>
      <xdr:col>7</xdr:col>
      <xdr:colOff>372586</xdr:colOff>
      <xdr:row>267</xdr:row>
      <xdr:rowOff>173792</xdr:rowOff>
    </xdr:from>
    <xdr:ext cx="2493761" cy="32739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𝑝𝑚𝑡</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𝐹𝑉_𝑆𝐸𝑅𝐼𝐸𝑆=𝑝𝑚𝑡∗((1+𝑟)^𝑛−1)/𝑟</a:t>
              </a:r>
              <a:endParaRPr lang="en-US" sz="1100"/>
            </a:p>
          </xdr:txBody>
        </xdr:sp>
      </mc:Fallback>
    </mc:AlternateContent>
    <xdr:clientData/>
  </xdr:oneCellAnchor>
  <xdr:oneCellAnchor>
    <xdr:from>
      <xdr:col>0</xdr:col>
      <xdr:colOff>424669</xdr:colOff>
      <xdr:row>273</xdr:row>
      <xdr:rowOff>161773</xdr:rowOff>
    </xdr:from>
    <xdr:ext cx="7854202" cy="34637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r>
                      <a:rPr lang="en-US" sz="1100" b="0" i="1">
                        <a:latin typeface="Cambria Math" panose="02040503050406030204" pitchFamily="18" charset="0"/>
                      </a:rPr>
                      <m:t>=500,000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𝐹𝑉_𝑆𝐸𝑅𝐼𝐸𝑆=𝑥∗((1+4%)^3−1)/(4%)∗(1+2%)^6∗(1+7%)^11+𝑥∗((1+2%)^6−1)/(2%)∗(1+7%)^11+𝑥∗((1+7%)^11−1)/(7%)=500,000</a:t>
              </a:r>
              <a:endParaRPr lang="en-US" sz="1100"/>
            </a:p>
          </xdr:txBody>
        </xdr:sp>
      </mc:Fallback>
    </mc:AlternateContent>
    <xdr:clientData/>
  </xdr:oneCellAnchor>
  <xdr:twoCellAnchor>
    <xdr:from>
      <xdr:col>5</xdr:col>
      <xdr:colOff>421541</xdr:colOff>
      <xdr:row>76</xdr:row>
      <xdr:rowOff>14082</xdr:rowOff>
    </xdr:from>
    <xdr:to>
      <xdr:col>5</xdr:col>
      <xdr:colOff>428625</xdr:colOff>
      <xdr:row>77</xdr:row>
      <xdr:rowOff>195791</xdr:rowOff>
    </xdr:to>
    <xdr:cxnSp macro="">
      <xdr:nvCxnSpPr>
        <xdr:cNvPr id="29" name="Straight Arrow Connector 28">
          <a:extLst>
            <a:ext uri="{FF2B5EF4-FFF2-40B4-BE49-F238E27FC236}">
              <a16:creationId xmlns:a16="http://schemas.microsoft.com/office/drawing/2014/main" id="{87416B1E-6FB7-4D45-7E5D-1236A05FB6AA}"/>
            </a:ext>
          </a:extLst>
        </xdr:cNvPr>
        <xdr:cNvCxnSpPr/>
      </xdr:nvCxnSpPr>
      <xdr:spPr>
        <a:xfrm flipH="1">
          <a:off x="13520589333" y="15423415"/>
          <a:ext cx="7084" cy="38279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0</xdr:colOff>
      <xdr:row>134</xdr:row>
      <xdr:rowOff>37041</xdr:rowOff>
    </xdr:from>
    <xdr:ext cx="2301753" cy="327397"/>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63651B6B-560C-8443-904B-3C56147041CD}"/>
                </a:ext>
              </a:extLst>
            </xdr:cNvPr>
            <xdr:cNvSpPr txBox="1"/>
          </xdr:nvSpPr>
          <xdr:spPr>
            <a:xfrm>
              <a:off x="13516239705" y="27172708"/>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9" name="TextBox 38">
              <a:extLst>
                <a:ext uri="{FF2B5EF4-FFF2-40B4-BE49-F238E27FC236}">
                  <a16:creationId xmlns:a16="http://schemas.microsoft.com/office/drawing/2014/main" id="{63651B6B-560C-8443-904B-3C56147041CD}"/>
                </a:ext>
              </a:extLst>
            </xdr:cNvPr>
            <xdr:cNvSpPr txBox="1"/>
          </xdr:nvSpPr>
          <xdr:spPr>
            <a:xfrm>
              <a:off x="13516239705" y="27172708"/>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7</xdr:col>
      <xdr:colOff>502709</xdr:colOff>
      <xdr:row>137</xdr:row>
      <xdr:rowOff>63499</xdr:rowOff>
    </xdr:from>
    <xdr:ext cx="3106087" cy="348750"/>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F85E9C0C-897D-1AC0-AA1D-1182B29EC81D}"/>
                </a:ext>
              </a:extLst>
            </xdr:cNvPr>
            <xdr:cNvSpPr txBox="1"/>
          </xdr:nvSpPr>
          <xdr:spPr>
            <a:xfrm>
              <a:off x="13515758162" y="27802416"/>
              <a:ext cx="3106087" cy="3487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=4,000∗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1+9%</m:t>
                                </m:r>
                              </m:e>
                            </m:d>
                          </m:e>
                          <m:sup>
                            <m:r>
                              <a:rPr lang="en-US" sz="1100" b="0" i="1">
                                <a:latin typeface="Cambria Math" panose="02040503050406030204" pitchFamily="18" charset="0"/>
                              </a:rPr>
                              <m:t>5</m:t>
                            </m:r>
                          </m:sup>
                        </m:sSup>
                        <m:r>
                          <a:rPr lang="en-US" sz="1100" b="0" i="1">
                            <a:latin typeface="Cambria Math" panose="02040503050406030204" pitchFamily="18" charset="0"/>
                          </a:rPr>
                          <m:t>−1</m:t>
                        </m:r>
                      </m:num>
                      <m:den>
                        <m:r>
                          <a:rPr lang="en-US" sz="1100" b="0" i="1">
                            <a:latin typeface="Cambria Math" panose="02040503050406030204" pitchFamily="18" charset="0"/>
                          </a:rPr>
                          <m:t>9%</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1+9%</m:t>
                            </m:r>
                          </m:e>
                        </m:d>
                      </m:e>
                      <m:sup>
                        <m:r>
                          <a:rPr lang="en-US" sz="1100" b="0" i="1">
                            <a:latin typeface="Cambria Math" panose="02040503050406030204" pitchFamily="18" charset="0"/>
                          </a:rPr>
                          <m:t>1</m:t>
                        </m:r>
                      </m:sup>
                    </m:sSup>
                    <m:r>
                      <a:rPr lang="en-US" sz="1100" b="0" i="1">
                        <a:latin typeface="Cambria Math" panose="02040503050406030204" pitchFamily="18" charset="0"/>
                      </a:rPr>
                      <m:t>=26,093</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F85E9C0C-897D-1AC0-AA1D-1182B29EC81D}"/>
                </a:ext>
              </a:extLst>
            </xdr:cNvPr>
            <xdr:cNvSpPr txBox="1"/>
          </xdr:nvSpPr>
          <xdr:spPr>
            <a:xfrm>
              <a:off x="13515758162" y="27802416"/>
              <a:ext cx="3106087" cy="3487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𝐹𝑉=4,000∗((1+9%)^5−1)/(9%)∗(1+9%)^1=26,093</a:t>
              </a:r>
              <a:endParaRPr lang="en-US"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oneCellAnchor>
    <xdr:from>
      <xdr:col>3</xdr:col>
      <xdr:colOff>215754</xdr:colOff>
      <xdr:row>32</xdr:row>
      <xdr:rowOff>72375</xdr:rowOff>
    </xdr:from>
    <xdr:ext cx="2209676" cy="45967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3</xdr:col>
      <xdr:colOff>132393</xdr:colOff>
      <xdr:row>71</xdr:row>
      <xdr:rowOff>201042</xdr:rowOff>
    </xdr:from>
    <xdr:ext cx="2209676" cy="45967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𝐿𝑂𝐴𝑁</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𝐿𝑂𝐴𝑁=𝑃𝑀𝑇∗(1−1/(1+𝑟)^𝑛 )/𝑟</a:t>
              </a:r>
              <a:endParaRPr lang="en-US" sz="1100"/>
            </a:p>
          </xdr:txBody>
        </xdr:sp>
      </mc:Fallback>
    </mc:AlternateContent>
    <xdr:clientData/>
  </xdr:oneCellAnchor>
  <xdr:oneCellAnchor>
    <xdr:from>
      <xdr:col>3</xdr:col>
      <xdr:colOff>163616</xdr:colOff>
      <xdr:row>80</xdr:row>
      <xdr:rowOff>92356</xdr:rowOff>
    </xdr:from>
    <xdr:ext cx="2209676" cy="45967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=𝑃𝑀𝑇∗(1−1/(1+𝑟)^(𝑛−𝑡) )/𝑟</a:t>
              </a:r>
              <a:endParaRPr lang="en-US" sz="1100"/>
            </a:p>
          </xdr:txBody>
        </xdr:sp>
      </mc:Fallback>
    </mc:AlternateContent>
    <xdr:clientData/>
  </xdr:oneCellAnchor>
  <xdr:oneCellAnchor>
    <xdr:from>
      <xdr:col>3</xdr:col>
      <xdr:colOff>73553</xdr:colOff>
      <xdr:row>98</xdr:row>
      <xdr:rowOff>137297</xdr:rowOff>
    </xdr:from>
    <xdr:ext cx="2209676" cy="31579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=𝐿𝑂𝐴𝑁/𝑛∗(𝑛−𝑡)</a:t>
              </a:r>
              <a:endParaRPr lang="en-US" sz="1100"/>
            </a:p>
          </xdr:txBody>
        </xdr:sp>
      </mc:Fallback>
    </mc:AlternateContent>
    <xdr:clientData/>
  </xdr:oneCellAnchor>
  <xdr:oneCellAnchor>
    <xdr:from>
      <xdr:col>1</xdr:col>
      <xdr:colOff>320775</xdr:colOff>
      <xdr:row>36</xdr:row>
      <xdr:rowOff>78921</xdr:rowOff>
    </xdr:from>
    <xdr:ext cx="3616873" cy="469359"/>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27,000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m:t>
                                    </m:r>
                                  </m:e>
                                </m:d>
                              </m:e>
                              <m:sup>
                                <m:r>
                                  <a:rPr lang="he-IL" sz="1100" b="0" i="1">
                                    <a:latin typeface="Cambria Math" panose="02040503050406030204" pitchFamily="18" charset="0"/>
                                  </a:rPr>
                                  <m:t>120</m:t>
                                </m:r>
                              </m:sup>
                            </m:sSup>
                          </m:den>
                        </m:f>
                      </m:num>
                      <m:den>
                        <m:r>
                          <a:rPr lang="he-IL" sz="1100" b="0" i="1">
                            <a:latin typeface="Cambria Math" panose="02040503050406030204" pitchFamily="18" charset="0"/>
                          </a:rPr>
                          <m:t>1%</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=387.37</m:t>
                    </m:r>
                  </m:oMath>
                </m:oMathPara>
              </a14:m>
              <a:endParaRPr lang="en-US" sz="1100"/>
            </a:p>
          </xdr:txBody>
        </xdr:sp>
      </mc:Choice>
      <mc:Fallback xmlns="">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27,000</a:t>
              </a:r>
              <a:r>
                <a:rPr lang="en-US" sz="1100" b="0" i="0">
                  <a:latin typeface="Cambria Math" panose="02040503050406030204" pitchFamily="18" charset="0"/>
                </a:rPr>
                <a:t>=𝑃𝑀𝑇∗(1−1/(1+</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120 </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)→𝑃𝑀𝑇=</a:t>
              </a:r>
              <a:r>
                <a:rPr lang="he-IL" sz="1100" b="0" i="0">
                  <a:latin typeface="Cambria Math" panose="02040503050406030204" pitchFamily="18" charset="0"/>
                </a:rPr>
                <a:t>387.37</a:t>
              </a:r>
              <a:endParaRPr lang="en-US" sz="1100"/>
            </a:p>
          </xdr:txBody>
        </xdr:sp>
      </mc:Fallback>
    </mc:AlternateContent>
    <xdr:clientData/>
  </xdr:oneCellAnchor>
  <xdr:oneCellAnchor>
    <xdr:from>
      <xdr:col>1</xdr:col>
      <xdr:colOff>349250</xdr:colOff>
      <xdr:row>74</xdr:row>
      <xdr:rowOff>121667</xdr:rowOff>
    </xdr:from>
    <xdr:ext cx="3767644" cy="469359"/>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0.5%</m:t>
                                    </m:r>
                                  </m:e>
                                </m:d>
                              </m:e>
                              <m:sup>
                                <m:r>
                                  <a:rPr lang="he-IL" sz="1100" b="0" i="1">
                                    <a:latin typeface="Cambria Math" panose="02040503050406030204" pitchFamily="18" charset="0"/>
                                  </a:rPr>
                                  <m:t>60</m:t>
                                </m:r>
                              </m:sup>
                            </m:sSup>
                          </m:den>
                        </m:f>
                      </m:num>
                      <m:den>
                        <m:r>
                          <a:rPr lang="he-IL" sz="1100" b="0" i="1">
                            <a:latin typeface="Cambria Math" panose="02040503050406030204" pitchFamily="18" charset="0"/>
                          </a:rPr>
                          <m:t>0.5%</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=77.33</m:t>
                    </m:r>
                  </m:oMath>
                </m:oMathPara>
              </a14:m>
              <a:endParaRPr lang="en-US" sz="1100"/>
            </a:p>
          </xdr:txBody>
        </xdr:sp>
      </mc:Choice>
      <mc:Fallback xmlns="">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a:t>
              </a:r>
              <a:r>
                <a:rPr lang="en-US" sz="1100" b="0" i="0">
                  <a:latin typeface="Cambria Math" panose="02040503050406030204" pitchFamily="18" charset="0"/>
                </a:rPr>
                <a:t>=𝑃𝑀𝑇∗(1−1/(1+</a:t>
              </a:r>
              <a:r>
                <a:rPr lang="he-IL" sz="1100" b="0" i="0">
                  <a:latin typeface="Cambria Math" panose="02040503050406030204" pitchFamily="18" charset="0"/>
                </a:rPr>
                <a:t>0.5%</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 )/(</a:t>
              </a:r>
              <a:r>
                <a:rPr lang="he-IL" sz="1100" b="0" i="0">
                  <a:latin typeface="Cambria Math" panose="02040503050406030204" pitchFamily="18" charset="0"/>
                </a:rPr>
                <a:t>0.5%</a:t>
              </a:r>
              <a:r>
                <a:rPr lang="en-US" sz="1100" b="0" i="0">
                  <a:latin typeface="Cambria Math" panose="02040503050406030204" pitchFamily="18" charset="0"/>
                </a:rPr>
                <a:t>)→𝑃𝑀𝑇=77.33</a:t>
              </a:r>
              <a:endParaRPr lang="en-US" sz="1100"/>
            </a:p>
          </xdr:txBody>
        </xdr:sp>
      </mc:Fallback>
    </mc:AlternateContent>
    <xdr:clientData/>
  </xdr:oneCellAnchor>
  <xdr:oneCellAnchor>
    <xdr:from>
      <xdr:col>1</xdr:col>
      <xdr:colOff>622301</xdr:colOff>
      <xdr:row>83</xdr:row>
      <xdr:rowOff>25681</xdr:rowOff>
    </xdr:from>
    <xdr:ext cx="3405167" cy="469359"/>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26</m:t>
                        </m:r>
                      </m:sub>
                    </m:sSub>
                    <m:r>
                      <a:rPr lang="en-US" sz="1100" b="0" i="1">
                        <a:latin typeface="Cambria Math" panose="02040503050406030204" pitchFamily="18" charset="0"/>
                      </a:rPr>
                      <m:t>=77.33∗</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1+0.5%</m:t>
                                    </m:r>
                                  </m:e>
                                </m:d>
                              </m:e>
                              <m:sup>
                                <m:r>
                                  <a:rPr lang="en-US" sz="1100" b="0" i="1">
                                    <a:latin typeface="Cambria Math" panose="02040503050406030204" pitchFamily="18" charset="0"/>
                                  </a:rPr>
                                  <m:t>60−26</m:t>
                                </m:r>
                              </m:sup>
                            </m:sSup>
                          </m:den>
                        </m:f>
                      </m:num>
                      <m:den>
                        <m:r>
                          <a:rPr lang="en-US" sz="1100" b="0" i="1">
                            <a:latin typeface="Cambria Math" panose="02040503050406030204" pitchFamily="18" charset="0"/>
                          </a:rPr>
                          <m:t>0.5%</m:t>
                        </m:r>
                      </m:den>
                    </m:f>
                    <m:r>
                      <a:rPr lang="en-US" sz="1100" b="0" i="1">
                        <a:latin typeface="Cambria Math" panose="02040503050406030204" pitchFamily="18" charset="0"/>
                      </a:rPr>
                      <m:t>=2,412.39</m:t>
                    </m:r>
                  </m:oMath>
                </m:oMathPara>
              </a14:m>
              <a:endParaRPr lang="en-US" sz="1100"/>
            </a:p>
          </xdr:txBody>
        </xdr:sp>
      </mc:Choice>
      <mc:Fallback xmlns="">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𝐵𝐴𝐿_26</a:t>
              </a:r>
              <a:r>
                <a:rPr lang="en-US" sz="1100" b="0" i="0">
                  <a:latin typeface="Cambria Math" panose="02040503050406030204" pitchFamily="18" charset="0"/>
                </a:rPr>
                <a:t>=77.33∗(1−1/(1+0.5%)^(60−26) )/(0.5%)=2,412.39</a:t>
              </a:r>
              <a:endParaRPr lang="en-US" sz="1100"/>
            </a:p>
          </xdr:txBody>
        </xdr:sp>
      </mc:Fallback>
    </mc:AlternateContent>
    <xdr:clientData/>
  </xdr:oneCellAnchor>
  <xdr:twoCellAnchor>
    <xdr:from>
      <xdr:col>4</xdr:col>
      <xdr:colOff>377825</xdr:colOff>
      <xdr:row>100</xdr:row>
      <xdr:rowOff>111125</xdr:rowOff>
    </xdr:from>
    <xdr:to>
      <xdr:col>4</xdr:col>
      <xdr:colOff>381000</xdr:colOff>
      <xdr:row>102</xdr:row>
      <xdr:rowOff>57150</xdr:rowOff>
    </xdr:to>
    <xdr:cxnSp macro="">
      <xdr:nvCxnSpPr>
        <xdr:cNvPr id="10" name="Straight Arrow Connector 9">
          <a:extLst>
            <a:ext uri="{FF2B5EF4-FFF2-40B4-BE49-F238E27FC236}">
              <a16:creationId xmlns:a16="http://schemas.microsoft.com/office/drawing/2014/main" id="{3C7A669F-AB30-4846-5B7A-5CC8C64D3447}"/>
            </a:ext>
          </a:extLst>
        </xdr:cNvPr>
        <xdr:cNvCxnSpPr/>
      </xdr:nvCxnSpPr>
      <xdr:spPr>
        <a:xfrm flipH="1">
          <a:off x="13521309000" y="23352125"/>
          <a:ext cx="3175" cy="3524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196850</xdr:colOff>
      <xdr:row>100</xdr:row>
      <xdr:rowOff>47625</xdr:rowOff>
    </xdr:from>
    <xdr:to>
      <xdr:col>3</xdr:col>
      <xdr:colOff>650875</xdr:colOff>
      <xdr:row>102</xdr:row>
      <xdr:rowOff>3175</xdr:rowOff>
    </xdr:to>
    <xdr:cxnSp macro="">
      <xdr:nvCxnSpPr>
        <xdr:cNvPr id="11" name="Straight Arrow Connector 10">
          <a:extLst>
            <a:ext uri="{FF2B5EF4-FFF2-40B4-BE49-F238E27FC236}">
              <a16:creationId xmlns:a16="http://schemas.microsoft.com/office/drawing/2014/main" id="{687445D0-5FDE-0665-ADF6-63B513A9AC01}"/>
            </a:ext>
          </a:extLst>
        </xdr:cNvPr>
        <xdr:cNvCxnSpPr/>
      </xdr:nvCxnSpPr>
      <xdr:spPr>
        <a:xfrm>
          <a:off x="13521864625" y="23288625"/>
          <a:ext cx="454025" cy="3619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809625</xdr:colOff>
      <xdr:row>102</xdr:row>
      <xdr:rowOff>117475</xdr:rowOff>
    </xdr:from>
    <xdr:to>
      <xdr:col>2</xdr:col>
      <xdr:colOff>796925</xdr:colOff>
      <xdr:row>102</xdr:row>
      <xdr:rowOff>130175</xdr:rowOff>
    </xdr:to>
    <xdr:cxnSp macro="">
      <xdr:nvCxnSpPr>
        <xdr:cNvPr id="13" name="Straight Arrow Connector 12">
          <a:extLst>
            <a:ext uri="{FF2B5EF4-FFF2-40B4-BE49-F238E27FC236}">
              <a16:creationId xmlns:a16="http://schemas.microsoft.com/office/drawing/2014/main" id="{3C2CED9F-10C1-E117-C5AB-66A5AF5D7192}"/>
            </a:ext>
          </a:extLst>
        </xdr:cNvPr>
        <xdr:cNvCxnSpPr/>
      </xdr:nvCxnSpPr>
      <xdr:spPr>
        <a:xfrm flipV="1">
          <a:off x="13522544075" y="23764875"/>
          <a:ext cx="81280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749828</xdr:colOff>
      <xdr:row>106</xdr:row>
      <xdr:rowOff>134122</xdr:rowOff>
    </xdr:from>
    <xdr:ext cx="2209676" cy="321435"/>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he-IL" sz="1100" b="0" i="1" baseline="0">
                            <a:latin typeface="Cambria Math" panose="02040503050406030204" pitchFamily="18" charset="0"/>
                          </a:rPr>
                          <m:t>54</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500,000</m:t>
                        </m:r>
                      </m:num>
                      <m:den>
                        <m:r>
                          <a:rPr lang="he-IL" sz="1100" b="0" i="1">
                            <a:latin typeface="Cambria Math" panose="02040503050406030204" pitchFamily="18" charset="0"/>
                          </a:rPr>
                          <m:t>96</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96</m:t>
                        </m:r>
                        <m:r>
                          <a:rPr lang="en-US" sz="1100" b="0" i="1">
                            <a:latin typeface="Cambria Math" panose="02040503050406030204" pitchFamily="18" charset="0"/>
                          </a:rPr>
                          <m:t>−</m:t>
                        </m:r>
                        <m:r>
                          <a:rPr lang="he-IL" sz="1100" b="0" i="1">
                            <a:latin typeface="Cambria Math" panose="02040503050406030204" pitchFamily="18" charset="0"/>
                          </a:rPr>
                          <m:t>54</m:t>
                        </m:r>
                      </m:e>
                    </m:d>
                    <m:r>
                      <a:rPr lang="he-IL"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a:t>
              </a:r>
              <a:r>
                <a:rPr lang="he-IL" sz="1100" b="0" i="0" baseline="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500,000</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5</xdr:col>
      <xdr:colOff>790575</xdr:colOff>
      <xdr:row>194</xdr:row>
      <xdr:rowOff>184150</xdr:rowOff>
    </xdr:from>
    <xdr:to>
      <xdr:col>6</xdr:col>
      <xdr:colOff>101600</xdr:colOff>
      <xdr:row>196</xdr:row>
      <xdr:rowOff>82550</xdr:rowOff>
    </xdr:to>
    <xdr:cxnSp macro="">
      <xdr:nvCxnSpPr>
        <xdr:cNvPr id="17" name="Straight Arrow Connector 16">
          <a:extLst>
            <a:ext uri="{FF2B5EF4-FFF2-40B4-BE49-F238E27FC236}">
              <a16:creationId xmlns:a16="http://schemas.microsoft.com/office/drawing/2014/main" id="{D45BC340-AC88-17CA-D72B-23DC1A1055CF}"/>
            </a:ext>
          </a:extLst>
        </xdr:cNvPr>
        <xdr:cNvCxnSpPr/>
      </xdr:nvCxnSpPr>
      <xdr:spPr>
        <a:xfrm flipV="1">
          <a:off x="13520000900" y="42170350"/>
          <a:ext cx="136525" cy="3048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212725</xdr:colOff>
      <xdr:row>226</xdr:row>
      <xdr:rowOff>196850</xdr:rowOff>
    </xdr:from>
    <xdr:to>
      <xdr:col>6</xdr:col>
      <xdr:colOff>854075</xdr:colOff>
      <xdr:row>226</xdr:row>
      <xdr:rowOff>196850</xdr:rowOff>
    </xdr:to>
    <xdr:cxnSp macro="">
      <xdr:nvCxnSpPr>
        <xdr:cNvPr id="19" name="Straight Arrow Connector 18">
          <a:extLst>
            <a:ext uri="{FF2B5EF4-FFF2-40B4-BE49-F238E27FC236}">
              <a16:creationId xmlns:a16="http://schemas.microsoft.com/office/drawing/2014/main" id="{E42F1E1F-72C2-3318-69A5-74A733CDF171}"/>
            </a:ext>
          </a:extLst>
        </xdr:cNvPr>
        <xdr:cNvCxnSpPr/>
      </xdr:nvCxnSpPr>
      <xdr:spPr>
        <a:xfrm>
          <a:off x="13519248425" y="44443650"/>
          <a:ext cx="47688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438150</xdr:colOff>
      <xdr:row>225</xdr:row>
      <xdr:rowOff>30784</xdr:rowOff>
    </xdr:from>
    <xdr:to>
      <xdr:col>4</xdr:col>
      <xdr:colOff>396875</xdr:colOff>
      <xdr:row>226</xdr:row>
      <xdr:rowOff>19050</xdr:rowOff>
    </xdr:to>
    <xdr:sp macro="" textlink="">
      <xdr:nvSpPr>
        <xdr:cNvPr id="21" name="Freeform 20">
          <a:extLst>
            <a:ext uri="{FF2B5EF4-FFF2-40B4-BE49-F238E27FC236}">
              <a16:creationId xmlns:a16="http://schemas.microsoft.com/office/drawing/2014/main" id="{47266D4D-A40B-96A7-2190-D71E7C4B9A36}"/>
            </a:ext>
          </a:extLst>
        </xdr:cNvPr>
        <xdr:cNvSpPr/>
      </xdr:nvSpPr>
      <xdr:spPr>
        <a:xfrm>
          <a:off x="13521356625" y="44074384"/>
          <a:ext cx="1609725" cy="191466"/>
        </a:xfrm>
        <a:custGeom>
          <a:avLst/>
          <a:gdLst>
            <a:gd name="connsiteX0" fmla="*/ 0 w 1609725"/>
            <a:gd name="connsiteY0" fmla="*/ 131141 h 191466"/>
            <a:gd name="connsiteX1" fmla="*/ 762000 w 1609725"/>
            <a:gd name="connsiteY1" fmla="*/ 966 h 191466"/>
            <a:gd name="connsiteX2" fmla="*/ 1609725 w 1609725"/>
            <a:gd name="connsiteY2" fmla="*/ 191466 h 191466"/>
          </a:gdLst>
          <a:ahLst/>
          <a:cxnLst>
            <a:cxn ang="0">
              <a:pos x="connsiteX0" y="connsiteY0"/>
            </a:cxn>
            <a:cxn ang="0">
              <a:pos x="connsiteX1" y="connsiteY1"/>
            </a:cxn>
            <a:cxn ang="0">
              <a:pos x="connsiteX2" y="connsiteY2"/>
            </a:cxn>
          </a:cxnLst>
          <a:rect l="l" t="t" r="r" b="b"/>
          <a:pathLst>
            <a:path w="1609725" h="191466">
              <a:moveTo>
                <a:pt x="0" y="131141"/>
              </a:moveTo>
              <a:cubicBezTo>
                <a:pt x="246856" y="61026"/>
                <a:pt x="493713" y="-9088"/>
                <a:pt x="762000" y="966"/>
              </a:cubicBezTo>
              <a:cubicBezTo>
                <a:pt x="1030287" y="11020"/>
                <a:pt x="1445683" y="150191"/>
                <a:pt x="1609725" y="19146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44451</xdr:colOff>
      <xdr:row>235</xdr:row>
      <xdr:rowOff>134936</xdr:rowOff>
    </xdr:from>
    <xdr:ext cx="1604329" cy="33592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200</m:t>
                        </m:r>
                      </m:num>
                      <m:den>
                        <m:r>
                          <a:rPr lang="en-US" sz="1100" b="0" i="1">
                            <a:latin typeface="Cambria Math" panose="02040503050406030204" pitchFamily="18" charset="0"/>
                          </a:rPr>
                          <m:t>1,000</m:t>
                        </m:r>
                      </m:den>
                    </m:f>
                    <m:r>
                      <a:rPr lang="en-US" sz="1100" b="0" i="1">
                        <a:latin typeface="Cambria Math" panose="02040503050406030204" pitchFamily="18" charset="0"/>
                      </a:rPr>
                      <m:t>=20%</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𝑟_𝑒=200/1,000=20%</a:t>
              </a:r>
              <a:endParaRPr lang="en-US" sz="1100"/>
            </a:p>
          </xdr:txBody>
        </xdr:sp>
      </mc:Fallback>
    </mc:AlternateContent>
    <xdr:clientData/>
  </xdr:oneCellAnchor>
  <xdr:oneCellAnchor>
    <xdr:from>
      <xdr:col>4</xdr:col>
      <xdr:colOff>95251</xdr:colOff>
      <xdr:row>237</xdr:row>
      <xdr:rowOff>173036</xdr:rowOff>
    </xdr:from>
    <xdr:ext cx="1604329" cy="3456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𝑡</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den>
                    </m:f>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𝑡</m:t>
                            </m:r>
                          </m:sub>
                        </m:sSub>
                      </m:num>
                      <m:den>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0</m:t>
                            </m:r>
                          </m:sub>
                        </m:sSub>
                      </m:den>
                    </m:f>
                    <m:r>
                      <a:rPr lang="en-US" sz="1100" b="0" i="1">
                        <a:solidFill>
                          <a:srgbClr val="FF0000"/>
                        </a:solidFill>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𝑟_𝑒=(𝑃_𝑡−𝑃_0)/𝑃_0 =</a:t>
              </a:r>
              <a:r>
                <a:rPr lang="en-US" sz="1100" b="0" i="0">
                  <a:solidFill>
                    <a:srgbClr val="FF0000"/>
                  </a:solidFill>
                  <a:latin typeface="Cambria Math" panose="02040503050406030204" pitchFamily="18" charset="0"/>
                </a:rPr>
                <a:t>𝑃_𝑡/𝑃_0 −1</a:t>
              </a:r>
              <a:endParaRPr lang="en-US" sz="1100"/>
            </a:p>
          </xdr:txBody>
        </xdr:sp>
      </mc:Fallback>
    </mc:AlternateContent>
    <xdr:clientData/>
  </xdr:oneCellAnchor>
  <xdr:oneCellAnchor>
    <xdr:from>
      <xdr:col>4</xdr:col>
      <xdr:colOff>165101</xdr:colOff>
      <xdr:row>243</xdr:row>
      <xdr:rowOff>17461</xdr:rowOff>
    </xdr:from>
    <xdr:ext cx="1604329" cy="335926"/>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1,200</m:t>
                        </m:r>
                      </m:num>
                      <m:den>
                        <m:r>
                          <a:rPr lang="he-IL" sz="1100" b="0" i="1">
                            <a:solidFill>
                              <a:srgbClr val="FF0000"/>
                            </a:solidFill>
                            <a:latin typeface="Cambria Math" panose="02040503050406030204" pitchFamily="18" charset="0"/>
                          </a:rPr>
                          <m:t>1,000</m:t>
                        </m:r>
                      </m:den>
                    </m:f>
                    <m:r>
                      <a:rPr lang="en-US" sz="1100" b="0" i="1">
                        <a:solidFill>
                          <a:srgbClr val="FF0000"/>
                        </a:solidFill>
                        <a:latin typeface="Cambria Math" panose="02040503050406030204" pitchFamily="18" charset="0"/>
                      </a:rPr>
                      <m:t>−1</m:t>
                    </m:r>
                    <m:r>
                      <a:rPr lang="he-IL"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solidFill>
                    <a:srgbClr val="FF0000"/>
                  </a:solidFill>
                  <a:latin typeface="Cambria Math" panose="02040503050406030204" pitchFamily="18" charset="0"/>
                </a:rPr>
                <a:t>1,200</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1,000</a:t>
              </a:r>
              <a:r>
                <a:rPr lang="en-US" sz="1100" b="0" i="0">
                  <a:solidFill>
                    <a:srgbClr val="FF0000"/>
                  </a:solidFill>
                  <a:latin typeface="Cambria Math" panose="02040503050406030204" pitchFamily="18" charset="0"/>
                </a:rPr>
                <a:t>−1</a:t>
              </a:r>
              <a:r>
                <a:rPr lang="he-IL" sz="1100" b="0" i="0">
                  <a:solidFill>
                    <a:srgbClr val="FF0000"/>
                  </a:solidFill>
                  <a:latin typeface="Cambria Math" panose="02040503050406030204" pitchFamily="18" charset="0"/>
                </a:rPr>
                <a:t>=20%</a:t>
              </a:r>
              <a:endParaRPr lang="en-US" sz="1100"/>
            </a:p>
          </xdr:txBody>
        </xdr:sp>
      </mc:Fallback>
    </mc:AlternateContent>
    <xdr:clientData/>
  </xdr:oneCellAnchor>
  <xdr:oneCellAnchor>
    <xdr:from>
      <xdr:col>3</xdr:col>
      <xdr:colOff>102111</xdr:colOff>
      <xdr:row>250</xdr:row>
      <xdr:rowOff>63411</xdr:rowOff>
    </xdr:from>
    <xdr:ext cx="2224028" cy="22717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𝑞𝑢𝑎𝑟𝑡𝑒𝑟</m:t>
                                </m:r>
                              </m:sub>
                            </m:sSub>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(𝑎𝑛𝑛𝑢𝑎𝑙)=(1+𝑟_𝑞𝑢𝑎𝑟𝑡𝑒𝑟 )^4−1</a:t>
              </a:r>
              <a:endParaRPr lang="en-US" sz="1100"/>
            </a:p>
          </xdr:txBody>
        </xdr:sp>
      </mc:Fallback>
    </mc:AlternateContent>
    <xdr:clientData/>
  </xdr:oneCellAnchor>
  <xdr:oneCellAnchor>
    <xdr:from>
      <xdr:col>3</xdr:col>
      <xdr:colOff>109764</xdr:colOff>
      <xdr:row>252</xdr:row>
      <xdr:rowOff>29050</xdr:rowOff>
    </xdr:from>
    <xdr:ext cx="2224028" cy="176523"/>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(𝑎𝑛𝑛𝑢𝑎𝑙)=(1+20%)^4−1=</a:t>
              </a:r>
              <a:endParaRPr lang="en-US" sz="1100"/>
            </a:p>
          </xdr:txBody>
        </xdr:sp>
      </mc:Fallback>
    </mc:AlternateContent>
    <xdr:clientData/>
  </xdr:oneCellAnchor>
  <xdr:oneCellAnchor>
    <xdr:from>
      <xdr:col>3</xdr:col>
      <xdr:colOff>532890</xdr:colOff>
      <xdr:row>258</xdr:row>
      <xdr:rowOff>160249</xdr:rowOff>
    </xdr:from>
    <xdr:ext cx="2224028" cy="26257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2.5</m:t>
                                </m:r>
                                <m:r>
                                  <a:rPr lang="en-US" sz="1100" b="0" i="1">
                                    <a:latin typeface="Cambria Math" panose="02040503050406030204" pitchFamily="18" charset="0"/>
                                  </a:rPr>
                                  <m:t>𝑌</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a:t>
              </a:r>
              <a:r>
                <a:rPr lang="he-IL" sz="1100" b="0" i="0">
                  <a:latin typeface="Cambria Math" panose="02040503050406030204" pitchFamily="18" charset="0"/>
                </a:rPr>
                <a:t>2.5</a:t>
              </a:r>
              <a:r>
                <a:rPr lang="en-US" sz="1100" b="0" i="0">
                  <a:latin typeface="Cambria Math" panose="02040503050406030204" pitchFamily="18" charset="0"/>
                </a:rPr>
                <a:t>𝑌 )^(1/2.5)−1</a:t>
              </a:r>
              <a:endParaRPr lang="en-US" sz="1100"/>
            </a:p>
          </xdr:txBody>
        </xdr:sp>
      </mc:Fallback>
    </mc:AlternateContent>
    <xdr:clientData/>
  </xdr:oneCellAnchor>
  <xdr:twoCellAnchor>
    <xdr:from>
      <xdr:col>1</xdr:col>
      <xdr:colOff>315905</xdr:colOff>
      <xdr:row>293</xdr:row>
      <xdr:rowOff>3191</xdr:rowOff>
    </xdr:from>
    <xdr:to>
      <xdr:col>6</xdr:col>
      <xdr:colOff>31909</xdr:colOff>
      <xdr:row>293</xdr:row>
      <xdr:rowOff>22337</xdr:rowOff>
    </xdr:to>
    <xdr:cxnSp macro="">
      <xdr:nvCxnSpPr>
        <xdr:cNvPr id="35" name="Straight Arrow Connector 34">
          <a:extLst>
            <a:ext uri="{FF2B5EF4-FFF2-40B4-BE49-F238E27FC236}">
              <a16:creationId xmlns:a16="http://schemas.microsoft.com/office/drawing/2014/main" id="{3F0B91FB-CCBB-827F-C1DC-2EDA9F1BB019}"/>
            </a:ext>
          </a:extLst>
        </xdr:cNvPr>
        <xdr:cNvCxnSpPr/>
      </xdr:nvCxnSpPr>
      <xdr:spPr>
        <a:xfrm>
          <a:off x="13535749347" y="57861583"/>
          <a:ext cx="3848291" cy="1914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727538</xdr:colOff>
      <xdr:row>297</xdr:row>
      <xdr:rowOff>90048</xdr:rowOff>
    </xdr:from>
    <xdr:ext cx="1946415" cy="31803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90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𝑟_𝑒=100/90−1=11.11%</a:t>
              </a:r>
              <a:endParaRPr lang="en-US" sz="1100"/>
            </a:p>
          </xdr:txBody>
        </xdr:sp>
      </mc:Fallback>
    </mc:AlternateContent>
    <xdr:clientData/>
  </xdr:oneCellAnchor>
  <xdr:oneCellAnchor>
    <xdr:from>
      <xdr:col>2</xdr:col>
      <xdr:colOff>0</xdr:colOff>
      <xdr:row>301</xdr:row>
      <xdr:rowOff>0</xdr:rowOff>
    </xdr:from>
    <xdr:ext cx="3197271" cy="324641"/>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1−10%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1/(1−𝑑)−1=1/(1−10%)−1=11.11%</a:t>
              </a:r>
              <a:endParaRPr lang="en-US" sz="1100"/>
            </a:p>
          </xdr:txBody>
        </xdr:sp>
      </mc:Fallback>
    </mc:AlternateContent>
    <xdr:clientData/>
  </xdr:oneCellAnchor>
  <xdr:oneCellAnchor>
    <xdr:from>
      <xdr:col>4</xdr:col>
      <xdr:colOff>303141</xdr:colOff>
      <xdr:row>333</xdr:row>
      <xdr:rowOff>93239</xdr:rowOff>
    </xdr:from>
    <xdr:ext cx="1700712" cy="173766"/>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146784</xdr:colOff>
      <xdr:row>332</xdr:row>
      <xdr:rowOff>195349</xdr:rowOff>
    </xdr:from>
    <xdr:ext cx="1700712" cy="3401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twoCellAnchor>
    <xdr:from>
      <xdr:col>2</xdr:col>
      <xdr:colOff>92537</xdr:colOff>
      <xdr:row>335</xdr:row>
      <xdr:rowOff>31909</xdr:rowOff>
    </xdr:from>
    <xdr:to>
      <xdr:col>2</xdr:col>
      <xdr:colOff>92537</xdr:colOff>
      <xdr:row>336</xdr:row>
      <xdr:rowOff>121256</xdr:rowOff>
    </xdr:to>
    <xdr:cxnSp macro="">
      <xdr:nvCxnSpPr>
        <xdr:cNvPr id="42" name="Straight Arrow Connector 41">
          <a:extLst>
            <a:ext uri="{FF2B5EF4-FFF2-40B4-BE49-F238E27FC236}">
              <a16:creationId xmlns:a16="http://schemas.microsoft.com/office/drawing/2014/main" id="{84B67063-A89F-6176-339B-9480AE2A6577}"/>
            </a:ext>
          </a:extLst>
        </xdr:cNvPr>
        <xdr:cNvCxnSpPr/>
      </xdr:nvCxnSpPr>
      <xdr:spPr>
        <a:xfrm>
          <a:off x="13538994548" y="64246683"/>
          <a:ext cx="0" cy="29356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121256</xdr:colOff>
      <xdr:row>336</xdr:row>
      <xdr:rowOff>173013</xdr:rowOff>
    </xdr:from>
    <xdr:ext cx="1700712" cy="354649"/>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solidFill>
                              <a:sysClr val="windowText" lastClr="000000"/>
                            </a:solidFill>
                            <a:latin typeface="Cambria Math" panose="02040503050406030204" pitchFamily="18" charset="0"/>
                          </a:rPr>
                        </m:ctrlPr>
                      </m:sSupPr>
                      <m:e>
                        <m:d>
                          <m:dPr>
                            <m:ctrlPr>
                              <a:rPr lang="he-IL" sz="1100" b="0" i="1">
                                <a:solidFill>
                                  <a:sysClr val="windowText" lastClr="000000"/>
                                </a:solidFill>
                                <a:latin typeface="Cambria Math" panose="02040503050406030204" pitchFamily="18" charset="0"/>
                              </a:rPr>
                            </m:ctrlPr>
                          </m:dPr>
                          <m:e>
                            <m:r>
                              <a:rPr lang="he-IL" sz="1100" b="0" i="1">
                                <a:solidFill>
                                  <a:sysClr val="windowText" lastClr="000000"/>
                                </a:solidFill>
                                <a:latin typeface="Cambria Math" panose="02040503050406030204" pitchFamily="18" charset="0"/>
                              </a:rPr>
                              <m:t>1+</m:t>
                            </m:r>
                            <m:f>
                              <m:fPr>
                                <m:ctrlPr>
                                  <a:rPr lang="en-US" sz="1100" b="0" i="1">
                                    <a:solidFill>
                                      <a:sysClr val="windowText" lastClr="000000"/>
                                    </a:solidFill>
                                    <a:latin typeface="Cambria Math" panose="02040503050406030204" pitchFamily="18" charset="0"/>
                                  </a:rPr>
                                </m:ctrlPr>
                              </m:fPr>
                              <m:num>
                                <m:r>
                                  <a:rPr lang="he-IL" sz="1100" b="0" i="1">
                                    <a:solidFill>
                                      <a:sysClr val="windowText" lastClr="000000"/>
                                    </a:solidFill>
                                    <a:latin typeface="Cambria Math" panose="02040503050406030204" pitchFamily="18" charset="0"/>
                                  </a:rPr>
                                  <m:t>20%</m:t>
                                </m:r>
                              </m:num>
                              <m:den>
                                <m:r>
                                  <a:rPr lang="he-IL" sz="1100" b="0" i="1">
                                    <a:solidFill>
                                      <a:sysClr val="windowText" lastClr="000000"/>
                                    </a:solidFill>
                                    <a:latin typeface="Cambria Math" panose="02040503050406030204" pitchFamily="18" charset="0"/>
                                  </a:rPr>
                                  <m:t>12</m:t>
                                </m:r>
                              </m:den>
                            </m:f>
                          </m:e>
                        </m:d>
                      </m:e>
                      <m:sup>
                        <m:r>
                          <a:rPr lang="he-IL" sz="1100" b="0" i="1">
                            <a:solidFill>
                              <a:sysClr val="windowText" lastClr="000000"/>
                            </a:solidFill>
                            <a:latin typeface="Cambria Math" panose="02040503050406030204" pitchFamily="18" charset="0"/>
                          </a:rPr>
                          <m:t>12</m:t>
                        </m:r>
                      </m:sup>
                    </m:sSup>
                    <m:r>
                      <a:rPr lang="en-US" sz="1100" b="0" i="1">
                        <a:solidFill>
                          <a:sysClr val="windowText" lastClr="000000"/>
                        </a:solidFill>
                        <a:latin typeface="Cambria Math" panose="02040503050406030204" pitchFamily="18" charset="0"/>
                      </a:rPr>
                      <m:t>−1</m:t>
                    </m:r>
                    <m:r>
                      <a:rPr lang="he-IL" sz="1100" b="0" i="1">
                        <a:solidFill>
                          <a:sysClr val="windowText" lastClr="000000"/>
                        </a:solidFill>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ysClr val="windowText" lastClr="000000"/>
                  </a:solidFill>
                  <a:latin typeface="Cambria Math" panose="02040503050406030204" pitchFamily="18" charset="0"/>
                </a:rPr>
                <a:t>(1+</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20%</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−1</a:t>
              </a:r>
              <a:r>
                <a:rPr lang="he-IL" sz="1100" b="0" i="0">
                  <a:solidFill>
                    <a:sysClr val="windowText" lastClr="000000"/>
                  </a:solidFill>
                  <a:latin typeface="Cambria Math" panose="02040503050406030204" pitchFamily="18" charset="0"/>
                </a:rPr>
                <a:t>=</a:t>
              </a:r>
              <a:endParaRPr lang="en-US" sz="1100"/>
            </a:p>
          </xdr:txBody>
        </xdr:sp>
      </mc:Fallback>
    </mc:AlternateContent>
    <xdr:clientData/>
  </xdr:oneCellAnchor>
  <xdr:twoCellAnchor>
    <xdr:from>
      <xdr:col>8</xdr:col>
      <xdr:colOff>450942</xdr:colOff>
      <xdr:row>264</xdr:row>
      <xdr:rowOff>110435</xdr:rowOff>
    </xdr:from>
    <xdr:to>
      <xdr:col>12</xdr:col>
      <xdr:colOff>197863</xdr:colOff>
      <xdr:row>264</xdr:row>
      <xdr:rowOff>128841</xdr:rowOff>
    </xdr:to>
    <xdr:cxnSp macro="">
      <xdr:nvCxnSpPr>
        <xdr:cNvPr id="14" name="Straight Arrow Connector 13">
          <a:extLst>
            <a:ext uri="{FF2B5EF4-FFF2-40B4-BE49-F238E27FC236}">
              <a16:creationId xmlns:a16="http://schemas.microsoft.com/office/drawing/2014/main" id="{635DCACD-61B8-974D-E13E-7ECFC0537764}"/>
            </a:ext>
          </a:extLst>
        </xdr:cNvPr>
        <xdr:cNvCxnSpPr/>
      </xdr:nvCxnSpPr>
      <xdr:spPr>
        <a:xfrm>
          <a:off x="13484754166" y="49700254"/>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411830</xdr:colOff>
      <xdr:row>261</xdr:row>
      <xdr:rowOff>154149</xdr:rowOff>
    </xdr:from>
    <xdr:to>
      <xdr:col>11</xdr:col>
      <xdr:colOff>404927</xdr:colOff>
      <xdr:row>262</xdr:row>
      <xdr:rowOff>197863</xdr:rowOff>
    </xdr:to>
    <xdr:sp macro="" textlink="">
      <xdr:nvSpPr>
        <xdr:cNvPr id="16" name="Left Brace 15">
          <a:extLst>
            <a:ext uri="{FF2B5EF4-FFF2-40B4-BE49-F238E27FC236}">
              <a16:creationId xmlns:a16="http://schemas.microsoft.com/office/drawing/2014/main" id="{E6FA64CA-E7BD-41F5-AF1E-2874748D79FB}"/>
            </a:ext>
          </a:extLst>
        </xdr:cNvPr>
        <xdr:cNvSpPr/>
      </xdr:nvSpPr>
      <xdr:spPr>
        <a:xfrm rot="5400000">
          <a:off x="13486060978" y="48432555"/>
          <a:ext cx="259982" cy="164041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352588</xdr:colOff>
      <xdr:row>261</xdr:row>
      <xdr:rowOff>9040</xdr:rowOff>
    </xdr:from>
    <xdr:ext cx="1718031" cy="1737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515491881" y="5415072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𝑅</m:t>
                    </m:r>
                    <m:r>
                      <a:rPr lang="en-US" sz="1100" b="0" i="1">
                        <a:latin typeface="Cambria Math" panose="02040503050406030204" pitchFamily="18" charset="0"/>
                      </a:rPr>
                      <m:t>=10%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515491881" y="5415072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𝑅=10%</a:t>
              </a:r>
              <a:endParaRPr lang="en-US" sz="1100"/>
            </a:p>
          </xdr:txBody>
        </xdr:sp>
      </mc:Fallback>
    </mc:AlternateContent>
    <xdr:clientData/>
  </xdr:oneCellAnchor>
  <xdr:twoCellAnchor>
    <xdr:from>
      <xdr:col>10</xdr:col>
      <xdr:colOff>386522</xdr:colOff>
      <xdr:row>264</xdr:row>
      <xdr:rowOff>121942</xdr:rowOff>
    </xdr:from>
    <xdr:to>
      <xdr:col>11</xdr:col>
      <xdr:colOff>423334</xdr:colOff>
      <xdr:row>265</xdr:row>
      <xdr:rowOff>165655</xdr:rowOff>
    </xdr:to>
    <xdr:sp macro="" textlink="">
      <xdr:nvSpPr>
        <xdr:cNvPr id="20" name="Left Brace 19">
          <a:extLst>
            <a:ext uri="{FF2B5EF4-FFF2-40B4-BE49-F238E27FC236}">
              <a16:creationId xmlns:a16="http://schemas.microsoft.com/office/drawing/2014/main" id="{0A35CD9B-5C30-4BA1-72BC-7CC18A53D549}"/>
            </a:ext>
          </a:extLst>
        </xdr:cNvPr>
        <xdr:cNvSpPr/>
      </xdr:nvSpPr>
      <xdr:spPr>
        <a:xfrm rot="16200000">
          <a:off x="13485659501" y="49404614"/>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9</xdr:col>
      <xdr:colOff>335903</xdr:colOff>
      <xdr:row>264</xdr:row>
      <xdr:rowOff>126543</xdr:rowOff>
    </xdr:from>
    <xdr:to>
      <xdr:col>10</xdr:col>
      <xdr:colOff>372716</xdr:colOff>
      <xdr:row>265</xdr:row>
      <xdr:rowOff>170256</xdr:rowOff>
    </xdr:to>
    <xdr:sp macro="" textlink="">
      <xdr:nvSpPr>
        <xdr:cNvPr id="44" name="Left Brace 43">
          <a:extLst>
            <a:ext uri="{FF2B5EF4-FFF2-40B4-BE49-F238E27FC236}">
              <a16:creationId xmlns:a16="http://schemas.microsoft.com/office/drawing/2014/main" id="{518E2886-F221-2F9B-99E2-843D4A4E40C2}"/>
            </a:ext>
          </a:extLst>
        </xdr:cNvPr>
        <xdr:cNvSpPr/>
      </xdr:nvSpPr>
      <xdr:spPr>
        <a:xfrm rot="16200000">
          <a:off x="13486533779" y="49409215"/>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7</xdr:col>
      <xdr:colOff>496959</xdr:colOff>
      <xdr:row>264</xdr:row>
      <xdr:rowOff>150189</xdr:rowOff>
    </xdr:from>
    <xdr:ext cx="1718031"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∗(1+5%)</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(1+5%)∗(1+5%)</a:t>
              </a:r>
              <a:endParaRPr lang="en-US" sz="1100"/>
            </a:p>
          </xdr:txBody>
        </xdr:sp>
      </mc:Fallback>
    </mc:AlternateContent>
    <xdr:clientData/>
  </xdr:oneCellAnchor>
  <xdr:twoCellAnchor>
    <xdr:from>
      <xdr:col>8</xdr:col>
      <xdr:colOff>280688</xdr:colOff>
      <xdr:row>273</xdr:row>
      <xdr:rowOff>496957</xdr:rowOff>
    </xdr:from>
    <xdr:to>
      <xdr:col>12</xdr:col>
      <xdr:colOff>27609</xdr:colOff>
      <xdr:row>273</xdr:row>
      <xdr:rowOff>515363</xdr:rowOff>
    </xdr:to>
    <xdr:cxnSp macro="">
      <xdr:nvCxnSpPr>
        <xdr:cNvPr id="54" name="Straight Arrow Connector 53">
          <a:extLst>
            <a:ext uri="{FF2B5EF4-FFF2-40B4-BE49-F238E27FC236}">
              <a16:creationId xmlns:a16="http://schemas.microsoft.com/office/drawing/2014/main" id="{1066442A-43FF-102C-990F-DB475B5BB29E}"/>
            </a:ext>
          </a:extLst>
        </xdr:cNvPr>
        <xdr:cNvCxnSpPr/>
      </xdr:nvCxnSpPr>
      <xdr:spPr>
        <a:xfrm>
          <a:off x="13484924420" y="53123732"/>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6</xdr:col>
      <xdr:colOff>888079</xdr:colOff>
      <xdr:row>333</xdr:row>
      <xdr:rowOff>0</xdr:rowOff>
    </xdr:from>
    <xdr:ext cx="3197271" cy="32464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editAs="oneCell">
    <xdr:from>
      <xdr:col>0</xdr:col>
      <xdr:colOff>0</xdr:colOff>
      <xdr:row>346</xdr:row>
      <xdr:rowOff>0</xdr:rowOff>
    </xdr:from>
    <xdr:to>
      <xdr:col>7</xdr:col>
      <xdr:colOff>394312</xdr:colOff>
      <xdr:row>355</xdr:row>
      <xdr:rowOff>82825</xdr:rowOff>
    </xdr:to>
    <xdr:pic>
      <xdr:nvPicPr>
        <xdr:cNvPr id="58" name="Picture 57">
          <a:extLst>
            <a:ext uri="{FF2B5EF4-FFF2-40B4-BE49-F238E27FC236}">
              <a16:creationId xmlns:a16="http://schemas.microsoft.com/office/drawing/2014/main" id="{0595BBD0-1D4B-23A1-4EBE-88A4F5F20148}"/>
            </a:ext>
          </a:extLst>
        </xdr:cNvPr>
        <xdr:cNvPicPr>
          <a:picLocks noChangeAspect="1"/>
        </xdr:cNvPicPr>
      </xdr:nvPicPr>
      <xdr:blipFill>
        <a:blip xmlns:r="http://schemas.openxmlformats.org/officeDocument/2006/relationships" r:embed="rId1"/>
        <a:stretch>
          <a:fillRect/>
        </a:stretch>
      </xdr:blipFill>
      <xdr:spPr>
        <a:xfrm>
          <a:off x="13488639262" y="66541558"/>
          <a:ext cx="6261100" cy="1905000"/>
        </a:xfrm>
        <a:prstGeom prst="rect">
          <a:avLst/>
        </a:prstGeom>
      </xdr:spPr>
    </xdr:pic>
    <xdr:clientData/>
  </xdr:twoCellAnchor>
  <xdr:twoCellAnchor>
    <xdr:from>
      <xdr:col>1</xdr:col>
      <xdr:colOff>48106</xdr:colOff>
      <xdr:row>358</xdr:row>
      <xdr:rowOff>112248</xdr:rowOff>
    </xdr:from>
    <xdr:to>
      <xdr:col>7</xdr:col>
      <xdr:colOff>125076</xdr:colOff>
      <xdr:row>358</xdr:row>
      <xdr:rowOff>112248</xdr:rowOff>
    </xdr:to>
    <xdr:cxnSp macro="">
      <xdr:nvCxnSpPr>
        <xdr:cNvPr id="60" name="Straight Arrow Connector 59">
          <a:extLst>
            <a:ext uri="{FF2B5EF4-FFF2-40B4-BE49-F238E27FC236}">
              <a16:creationId xmlns:a16="http://schemas.microsoft.com/office/drawing/2014/main" id="{EDDB9DEB-0763-3AA0-A670-6B2DC3031D71}"/>
            </a:ext>
          </a:extLst>
        </xdr:cNvPr>
        <xdr:cNvCxnSpPr/>
      </xdr:nvCxnSpPr>
      <xdr:spPr>
        <a:xfrm>
          <a:off x="13498079545" y="68929571"/>
          <a:ext cx="5086415"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371347</xdr:colOff>
      <xdr:row>365</xdr:row>
      <xdr:rowOff>140666</xdr:rowOff>
    </xdr:from>
    <xdr:ext cx="1956903" cy="316882"/>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oneCellAnchor>
    <xdr:from>
      <xdr:col>3</xdr:col>
      <xdr:colOff>0</xdr:colOff>
      <xdr:row>372</xdr:row>
      <xdr:rowOff>204239</xdr:rowOff>
    </xdr:from>
    <xdr:ext cx="1700712"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2</xdr:col>
      <xdr:colOff>51989</xdr:colOff>
      <xdr:row>375</xdr:row>
      <xdr:rowOff>25993</xdr:rowOff>
    </xdr:from>
    <xdr:ext cx="3215800" cy="287964"/>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5</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(𝑎𝑛𝑛𝑢𝑎𝑙)=(1+𝑟_5𝑦𝑒𝑎𝑟𝑠 )^(1/5)−1</a:t>
              </a:r>
              <a:endParaRPr lang="en-US" sz="1100"/>
            </a:p>
          </xdr:txBody>
        </xdr:sp>
      </mc:Fallback>
    </mc:AlternateContent>
    <xdr:clientData/>
  </xdr:oneCellAnchor>
  <xdr:oneCellAnchor>
    <xdr:from>
      <xdr:col>1</xdr:col>
      <xdr:colOff>653568</xdr:colOff>
      <xdr:row>377</xdr:row>
      <xdr:rowOff>103976</xdr:rowOff>
    </xdr:from>
    <xdr:ext cx="3215800" cy="254493"/>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1+42.86%</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(𝑎𝑛𝑛𝑢𝑎𝑙)=(1+42.86%)^(1/5)−1=</a:t>
              </a:r>
              <a:endParaRPr lang="en-US" sz="1100"/>
            </a:p>
          </xdr:txBody>
        </xdr:sp>
      </mc:Fallback>
    </mc:AlternateContent>
    <xdr:clientData/>
  </xdr:oneCellAnchor>
  <xdr:oneCellAnchor>
    <xdr:from>
      <xdr:col>3</xdr:col>
      <xdr:colOff>0</xdr:colOff>
      <xdr:row>381</xdr:row>
      <xdr:rowOff>204239</xdr:rowOff>
    </xdr:from>
    <xdr:ext cx="3197271" cy="324641"/>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r_𝑒=1/(1−𝑑)−1</a:t>
              </a:r>
              <a:endParaRPr lang="en-US" sz="1100"/>
            </a:p>
          </xdr:txBody>
        </xdr:sp>
      </mc:Fallback>
    </mc:AlternateContent>
    <xdr:clientData/>
  </xdr:oneCellAnchor>
  <xdr:oneCellAnchor>
    <xdr:from>
      <xdr:col>2</xdr:col>
      <xdr:colOff>720410</xdr:colOff>
      <xdr:row>383</xdr:row>
      <xdr:rowOff>174532</xdr:rowOff>
    </xdr:from>
    <xdr:ext cx="3197271" cy="324641"/>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1−30%</m:t>
                        </m:r>
                      </m:den>
                    </m:f>
                    <m:r>
                      <a:rPr lang="en-US" sz="1100" b="0" i="1">
                        <a:latin typeface="Cambria Math" panose="02040503050406030204" pitchFamily="18" charset="0"/>
                      </a:rPr>
                      <m:t>−1=42.86%</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r_𝑒=1/(1−30%)−1=42.86%</a:t>
              </a:r>
              <a:endParaRPr lang="en-US" sz="1100"/>
            </a:p>
          </xdr:txBody>
        </xdr:sp>
      </mc:Fallback>
    </mc:AlternateContent>
    <xdr:clientData/>
  </xdr:oneCellAnchor>
  <xdr:twoCellAnchor editAs="oneCell">
    <xdr:from>
      <xdr:col>0</xdr:col>
      <xdr:colOff>0</xdr:colOff>
      <xdr:row>388</xdr:row>
      <xdr:rowOff>0</xdr:rowOff>
    </xdr:from>
    <xdr:to>
      <xdr:col>7</xdr:col>
      <xdr:colOff>174618</xdr:colOff>
      <xdr:row>395</xdr:row>
      <xdr:rowOff>157823</xdr:rowOff>
    </xdr:to>
    <xdr:pic>
      <xdr:nvPicPr>
        <xdr:cNvPr id="68" name="Picture 67">
          <a:extLst>
            <a:ext uri="{FF2B5EF4-FFF2-40B4-BE49-F238E27FC236}">
              <a16:creationId xmlns:a16="http://schemas.microsoft.com/office/drawing/2014/main" id="{DDC30D08-F8D4-E50E-C247-558CC1ADDD3D}"/>
            </a:ext>
          </a:extLst>
        </xdr:cNvPr>
        <xdr:cNvPicPr>
          <a:picLocks noChangeAspect="1"/>
        </xdr:cNvPicPr>
      </xdr:nvPicPr>
      <xdr:blipFill>
        <a:blip xmlns:r="http://schemas.openxmlformats.org/officeDocument/2006/relationships" r:embed="rId2"/>
        <a:stretch>
          <a:fillRect/>
        </a:stretch>
      </xdr:blipFill>
      <xdr:spPr>
        <a:xfrm>
          <a:off x="13500757578" y="75646696"/>
          <a:ext cx="6045200" cy="1587500"/>
        </a:xfrm>
        <a:prstGeom prst="rect">
          <a:avLst/>
        </a:prstGeom>
      </xdr:spPr>
    </xdr:pic>
    <xdr:clientData/>
  </xdr:twoCellAnchor>
  <xdr:twoCellAnchor>
    <xdr:from>
      <xdr:col>1</xdr:col>
      <xdr:colOff>460468</xdr:colOff>
      <xdr:row>398</xdr:row>
      <xdr:rowOff>129970</xdr:rowOff>
    </xdr:from>
    <xdr:to>
      <xdr:col>7</xdr:col>
      <xdr:colOff>14854</xdr:colOff>
      <xdr:row>398</xdr:row>
      <xdr:rowOff>141111</xdr:rowOff>
    </xdr:to>
    <xdr:cxnSp macro="">
      <xdr:nvCxnSpPr>
        <xdr:cNvPr id="70" name="Straight Arrow Connector 69">
          <a:extLst>
            <a:ext uri="{FF2B5EF4-FFF2-40B4-BE49-F238E27FC236}">
              <a16:creationId xmlns:a16="http://schemas.microsoft.com/office/drawing/2014/main" id="{1F2F5C7F-BA81-E6DF-CC23-FC8838CCD381}"/>
            </a:ext>
          </a:extLst>
        </xdr:cNvPr>
        <xdr:cNvCxnSpPr/>
      </xdr:nvCxnSpPr>
      <xdr:spPr>
        <a:xfrm flipV="1">
          <a:off x="13500954094" y="77819064"/>
          <a:ext cx="4563830" cy="1114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538450</xdr:colOff>
      <xdr:row>402</xdr:row>
      <xdr:rowOff>99816</xdr:rowOff>
    </xdr:from>
    <xdr:ext cx="3037519" cy="335926"/>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2.5</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112,000</m:t>
                        </m:r>
                      </m:num>
                      <m:den>
                        <m:r>
                          <a:rPr lang="en-US" sz="1100" b="0" i="1">
                            <a:latin typeface="Cambria Math" panose="02040503050406030204" pitchFamily="18" charset="0"/>
                          </a:rPr>
                          <m:t>100,000</m:t>
                        </m:r>
                      </m:den>
                    </m:f>
                    <m:r>
                      <a:rPr lang="en-US" sz="1100" b="0" i="1">
                        <a:latin typeface="Cambria Math" panose="02040503050406030204" pitchFamily="18" charset="0"/>
                      </a:rPr>
                      <m:t>−1=12%</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(2.5𝑦𝑒𝑎𝑟𝑠)=112,000/100,000−1=12%</a:t>
              </a:r>
              <a:endParaRPr lang="en-US" sz="1100"/>
            </a:p>
          </xdr:txBody>
        </xdr:sp>
      </mc:Fallback>
    </mc:AlternateContent>
    <xdr:clientData/>
  </xdr:oneCellAnchor>
  <xdr:oneCellAnchor>
    <xdr:from>
      <xdr:col>4</xdr:col>
      <xdr:colOff>303141</xdr:colOff>
      <xdr:row>411</xdr:row>
      <xdr:rowOff>93239</xdr:rowOff>
    </xdr:from>
    <xdr:ext cx="1700712"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284181</xdr:colOff>
      <xdr:row>410</xdr:row>
      <xdr:rowOff>184210</xdr:rowOff>
    </xdr:from>
    <xdr:ext cx="1700712" cy="340158"/>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oneCellAnchor>
    <xdr:from>
      <xdr:col>6</xdr:col>
      <xdr:colOff>888079</xdr:colOff>
      <xdr:row>411</xdr:row>
      <xdr:rowOff>0</xdr:rowOff>
    </xdr:from>
    <xdr:ext cx="3197271" cy="324641"/>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xdr:from>
      <xdr:col>5</xdr:col>
      <xdr:colOff>329111</xdr:colOff>
      <xdr:row>412</xdr:row>
      <xdr:rowOff>62765</xdr:rowOff>
    </xdr:from>
    <xdr:to>
      <xdr:col>5</xdr:col>
      <xdr:colOff>334211</xdr:colOff>
      <xdr:row>413</xdr:row>
      <xdr:rowOff>189386</xdr:rowOff>
    </xdr:to>
    <xdr:cxnSp macro="">
      <xdr:nvCxnSpPr>
        <xdr:cNvPr id="76" name="Straight Arrow Connector 75">
          <a:extLst>
            <a:ext uri="{FF2B5EF4-FFF2-40B4-BE49-F238E27FC236}">
              <a16:creationId xmlns:a16="http://schemas.microsoft.com/office/drawing/2014/main" id="{5EA0633E-A4F5-6F25-08B5-B595E821FA64}"/>
            </a:ext>
          </a:extLst>
        </xdr:cNvPr>
        <xdr:cNvCxnSpPr>
          <a:stCxn id="72" idx="2"/>
        </xdr:cNvCxnSpPr>
      </xdr:nvCxnSpPr>
      <xdr:spPr>
        <a:xfrm flipH="1">
          <a:off x="13502346637" y="79998496"/>
          <a:ext cx="5100" cy="3308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768685</xdr:colOff>
      <xdr:row>414</xdr:row>
      <xdr:rowOff>145227</xdr:rowOff>
    </xdr:from>
    <xdr:ext cx="2857947" cy="253403"/>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(𝑎𝑛𝑛𝑢𝑎𝑙)=(1+12%)^(1/2.5)−1=</a:t>
              </a:r>
              <a:endParaRPr lang="en-US" sz="1100"/>
            </a:p>
          </xdr:txBody>
        </xdr:sp>
      </mc:Fallback>
    </mc:AlternateContent>
    <xdr:clientData/>
  </xdr:oneCellAnchor>
  <xdr:oneCellAnchor>
    <xdr:from>
      <xdr:col>1</xdr:col>
      <xdr:colOff>102091</xdr:colOff>
      <xdr:row>51</xdr:row>
      <xdr:rowOff>77588</xdr:rowOff>
    </xdr:from>
    <xdr:ext cx="2209676" cy="45967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9E80B7E-E91B-2640-BE7F-461ACFD3D343}"/>
                </a:ext>
              </a:extLst>
            </xdr:cNvPr>
            <xdr:cNvSpPr txBox="1"/>
          </xdr:nvSpPr>
          <xdr:spPr>
            <a:xfrm>
              <a:off x="13511884825" y="10588778"/>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9" name="TextBox 8">
              <a:extLst>
                <a:ext uri="{FF2B5EF4-FFF2-40B4-BE49-F238E27FC236}">
                  <a16:creationId xmlns:a16="http://schemas.microsoft.com/office/drawing/2014/main" id="{09E80B7E-E91B-2640-BE7F-461ACFD3D343}"/>
                </a:ext>
              </a:extLst>
            </xdr:cNvPr>
            <xdr:cNvSpPr txBox="1"/>
          </xdr:nvSpPr>
          <xdr:spPr>
            <a:xfrm>
              <a:off x="13511884825" y="10588778"/>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0</xdr:col>
      <xdr:colOff>788135</xdr:colOff>
      <xdr:row>53</xdr:row>
      <xdr:rowOff>134759</xdr:rowOff>
    </xdr:from>
    <xdr:ext cx="2209676" cy="469359"/>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67A80464-A2F0-174F-B739-E3E2B6B6BC95}"/>
                </a:ext>
              </a:extLst>
            </xdr:cNvPr>
            <xdr:cNvSpPr txBox="1"/>
          </xdr:nvSpPr>
          <xdr:spPr>
            <a:xfrm>
              <a:off x="13512023668" y="11054309"/>
              <a:ext cx="2209676"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4,000=</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0.5%</m:t>
                                    </m:r>
                                  </m:e>
                                </m:d>
                              </m:e>
                              <m:sup>
                                <m:r>
                                  <a:rPr lang="he-IL" sz="1100" b="0" i="1">
                                    <a:latin typeface="Cambria Math" panose="02040503050406030204" pitchFamily="18" charset="0"/>
                                  </a:rPr>
                                  <m:t>60</m:t>
                                </m:r>
                              </m:sup>
                            </m:sSup>
                          </m:den>
                        </m:f>
                      </m:num>
                      <m:den>
                        <m:r>
                          <a:rPr lang="he-IL" sz="1100" b="0" i="1">
                            <a:latin typeface="Cambria Math" panose="02040503050406030204" pitchFamily="18" charset="0"/>
                          </a:rPr>
                          <m:t>0.5%</m:t>
                        </m:r>
                      </m:den>
                    </m:f>
                  </m:oMath>
                </m:oMathPara>
              </a14:m>
              <a:endParaRPr lang="en-US" sz="1100"/>
            </a:p>
          </xdr:txBody>
        </xdr:sp>
      </mc:Choice>
      <mc:Fallback xmlns="">
        <xdr:sp macro="" textlink="">
          <xdr:nvSpPr>
            <xdr:cNvPr id="12" name="TextBox 11">
              <a:extLst>
                <a:ext uri="{FF2B5EF4-FFF2-40B4-BE49-F238E27FC236}">
                  <a16:creationId xmlns:a16="http://schemas.microsoft.com/office/drawing/2014/main" id="{67A80464-A2F0-174F-B739-E3E2B6B6BC95}"/>
                </a:ext>
              </a:extLst>
            </xdr:cNvPr>
            <xdr:cNvSpPr txBox="1"/>
          </xdr:nvSpPr>
          <xdr:spPr>
            <a:xfrm>
              <a:off x="13512023668" y="11054309"/>
              <a:ext cx="2209676"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4,000=𝑃𝑀𝑇∗(1−1/(1+</a:t>
              </a:r>
              <a:r>
                <a:rPr lang="he-IL" sz="1100" b="0" i="0">
                  <a:latin typeface="Cambria Math" panose="02040503050406030204" pitchFamily="18" charset="0"/>
                </a:rPr>
                <a:t>0.5%</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 )/(</a:t>
              </a:r>
              <a:r>
                <a:rPr lang="he-IL" sz="1100" b="0" i="0">
                  <a:latin typeface="Cambria Math" panose="02040503050406030204" pitchFamily="18" charset="0"/>
                </a:rPr>
                <a:t>0.5%</a:t>
              </a:r>
              <a:r>
                <a:rPr lang="en-US" sz="1100" b="0" i="0">
                  <a:latin typeface="Cambria Math" panose="02040503050406030204" pitchFamily="18" charset="0"/>
                </a:rPr>
                <a:t>)</a:t>
              </a:r>
              <a:endParaRPr lang="en-US" sz="1100"/>
            </a:p>
          </xdr:txBody>
        </xdr:sp>
      </mc:Fallback>
    </mc:AlternateContent>
    <xdr:clientData/>
  </xdr:oneCellAnchor>
  <xdr:oneCellAnchor>
    <xdr:from>
      <xdr:col>7</xdr:col>
      <xdr:colOff>659191</xdr:colOff>
      <xdr:row>221</xdr:row>
      <xdr:rowOff>180824</xdr:rowOff>
    </xdr:from>
    <xdr:ext cx="4003523" cy="40395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B953AF9F-D446-BE23-31B3-34E6AFEBEA8F}"/>
                </a:ext>
              </a:extLst>
            </xdr:cNvPr>
            <xdr:cNvSpPr txBox="1"/>
          </xdr:nvSpPr>
          <xdr:spPr>
            <a:xfrm>
              <a:off x="13564071714" y="45949205"/>
              <a:ext cx="4003523"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he-IL" sz="1100" b="0" i="1">
                            <a:latin typeface="Cambria Math" panose="02040503050406030204" pitchFamily="18" charset="0"/>
                          </a:rPr>
                          <m:t>עסקה</m:t>
                        </m:r>
                        <m:r>
                          <a:rPr lang="he-IL" sz="1100" b="0" i="1">
                            <a:latin typeface="Cambria Math" panose="02040503050406030204" pitchFamily="18" charset="0"/>
                          </a:rPr>
                          <m:t> </m:t>
                        </m:r>
                        <m:r>
                          <a:rPr lang="he-IL" sz="1100" b="0" i="1">
                            <a:latin typeface="Cambria Math" panose="02040503050406030204" pitchFamily="18" charset="0"/>
                          </a:rPr>
                          <m:t>תקופת</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בש״ח</m:t>
                        </m:r>
                        <m:r>
                          <a:rPr lang="he-IL" sz="1100" b="0" i="1">
                            <a:latin typeface="Cambria Math" panose="02040503050406030204" pitchFamily="18" charset="0"/>
                          </a:rPr>
                          <m:t> </m:t>
                        </m:r>
                        <m:r>
                          <a:rPr lang="he-IL" sz="1100" b="0" i="1">
                            <a:latin typeface="Cambria Math" panose="02040503050406030204" pitchFamily="18" charset="0"/>
                          </a:rPr>
                          <m:t>ריבית</m:t>
                        </m:r>
                      </m:num>
                      <m:den>
                        <m:r>
                          <a:rPr lang="he-IL" sz="1100" b="0" i="1">
                            <a:latin typeface="Cambria Math" panose="02040503050406030204" pitchFamily="18" charset="0"/>
                          </a:rPr>
                          <m:t>בש״ח</m:t>
                        </m:r>
                        <m:r>
                          <a:rPr lang="he-IL" sz="1100" b="0" i="1">
                            <a:latin typeface="Cambria Math" panose="02040503050406030204" pitchFamily="18" charset="0"/>
                          </a:rPr>
                          <m:t> </m:t>
                        </m:r>
                        <m:r>
                          <a:rPr lang="he-IL" sz="1100" b="0" i="1">
                            <a:latin typeface="Cambria Math" panose="02040503050406030204" pitchFamily="18" charset="0"/>
                          </a:rPr>
                          <m:t>קרן</m:t>
                        </m:r>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B953AF9F-D446-BE23-31B3-34E6AFEBEA8F}"/>
                </a:ext>
              </a:extLst>
            </xdr:cNvPr>
            <xdr:cNvSpPr txBox="1"/>
          </xdr:nvSpPr>
          <xdr:spPr>
            <a:xfrm>
              <a:off x="13564071714" y="45949205"/>
              <a:ext cx="4003523" cy="4039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a:t>
              </a:r>
              <a:r>
                <a:rPr lang="he-IL" sz="1100" b="0" i="0">
                  <a:latin typeface="Cambria Math" panose="02040503050406030204" pitchFamily="18" charset="0"/>
                </a:rPr>
                <a:t>עסקה תקופת)=(בש״ח ריבית)/(בש״ח קרן)</a:t>
              </a:r>
              <a:endParaRPr lang="en-US" sz="1100"/>
            </a:p>
          </xdr:txBody>
        </xdr:sp>
      </mc:Fallback>
    </mc:AlternateContent>
    <xdr:clientData/>
  </xdr:oneCellAnchor>
  <xdr:oneCellAnchor>
    <xdr:from>
      <xdr:col>7</xdr:col>
      <xdr:colOff>562429</xdr:colOff>
      <xdr:row>226</xdr:row>
      <xdr:rowOff>17539</xdr:rowOff>
    </xdr:from>
    <xdr:ext cx="4003523" cy="335926"/>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96805893-3FF1-3B8C-A3C3-13B1FFD45257}"/>
                </a:ext>
              </a:extLst>
            </xdr:cNvPr>
            <xdr:cNvSpPr txBox="1"/>
          </xdr:nvSpPr>
          <xdr:spPr>
            <a:xfrm>
              <a:off x="13564168476" y="46814015"/>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3</m:t>
                        </m:r>
                        <m:r>
                          <a:rPr lang="en-US" sz="1100" b="0" i="1">
                            <a:latin typeface="Cambria Math" panose="02040503050406030204" pitchFamily="18" charset="0"/>
                          </a:rPr>
                          <m:t>𝑚𝑜𝑛𝑡h𝑠</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1,200−1,000</m:t>
                        </m:r>
                      </m:num>
                      <m:den>
                        <m:r>
                          <a:rPr lang="he-IL" sz="1100" b="0" i="1">
                            <a:latin typeface="Cambria Math" panose="02040503050406030204" pitchFamily="18" charset="0"/>
                          </a:rPr>
                          <m:t>1,000</m:t>
                        </m:r>
                      </m:den>
                    </m:f>
                    <m:r>
                      <a:rPr lang="he-IL" sz="1100" b="0" i="1">
                        <a:latin typeface="Cambria Math" panose="02040503050406030204" pitchFamily="18" charset="0"/>
                      </a:rPr>
                      <m:t>=20%</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96805893-3FF1-3B8C-A3C3-13B1FFD45257}"/>
                </a:ext>
              </a:extLst>
            </xdr:cNvPr>
            <xdr:cNvSpPr txBox="1"/>
          </xdr:nvSpPr>
          <xdr:spPr>
            <a:xfrm>
              <a:off x="13564168476" y="46814015"/>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(3𝑚𝑜𝑛𝑡ℎ𝑠</a:t>
              </a:r>
              <a:r>
                <a:rPr lang="he-IL" sz="1100" b="0" i="0">
                  <a:latin typeface="Cambria Math" panose="02040503050406030204" pitchFamily="18" charset="0"/>
                </a:rPr>
                <a:t>)=(1,200−1,000)/1,000=20%</a:t>
              </a:r>
              <a:endParaRPr lang="en-US" sz="1100"/>
            </a:p>
          </xdr:txBody>
        </xdr:sp>
      </mc:Fallback>
    </mc:AlternateContent>
    <xdr:clientData/>
  </xdr:oneCellAnchor>
  <xdr:oneCellAnchor>
    <xdr:from>
      <xdr:col>8</xdr:col>
      <xdr:colOff>6049</xdr:colOff>
      <xdr:row>231</xdr:row>
      <xdr:rowOff>11492</xdr:rowOff>
    </xdr:from>
    <xdr:ext cx="4003523" cy="33592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3DE4E677-02B0-5A51-171E-ADE5A530ECE7}"/>
                </a:ext>
              </a:extLst>
            </xdr:cNvPr>
            <xdr:cNvSpPr txBox="1"/>
          </xdr:nvSpPr>
          <xdr:spPr>
            <a:xfrm>
              <a:off x="13563896333" y="47836063"/>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3</m:t>
                        </m:r>
                        <m:r>
                          <a:rPr lang="en-US" sz="1100" b="0" i="1">
                            <a:latin typeface="Cambria Math" panose="02040503050406030204" pitchFamily="18" charset="0"/>
                          </a:rPr>
                          <m:t>𝑚𝑜𝑛𝑡h𝑠</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1,200</m:t>
                        </m:r>
                      </m:num>
                      <m:den>
                        <m:r>
                          <a:rPr lang="he-IL" sz="1100" b="0" i="1">
                            <a:latin typeface="Cambria Math" panose="02040503050406030204" pitchFamily="18" charset="0"/>
                          </a:rPr>
                          <m:t>1,000</m:t>
                        </m:r>
                      </m:den>
                    </m:f>
                    <m:r>
                      <a:rPr lang="he-IL" sz="1100" b="0" i="1">
                        <a:latin typeface="Cambria Math" panose="02040503050406030204" pitchFamily="18" charset="0"/>
                      </a:rPr>
                      <m:t>−1=</m:t>
                    </m:r>
                    <m:r>
                      <a:rPr lang="he-IL" sz="1100" b="0" i="0">
                        <a:latin typeface="Cambria Math" panose="02040503050406030204" pitchFamily="18" charset="0"/>
                      </a:rPr>
                      <m:t>20%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3DE4E677-02B0-5A51-171E-ADE5A530ECE7}"/>
                </a:ext>
              </a:extLst>
            </xdr:cNvPr>
            <xdr:cNvSpPr txBox="1"/>
          </xdr:nvSpPr>
          <xdr:spPr>
            <a:xfrm>
              <a:off x="13563896333" y="47836063"/>
              <a:ext cx="4003523"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(3𝑚𝑜𝑛𝑡ℎ𝑠</a:t>
              </a:r>
              <a:r>
                <a:rPr lang="he-IL" sz="1100" b="0" i="0">
                  <a:latin typeface="Cambria Math" panose="02040503050406030204" pitchFamily="18" charset="0"/>
                </a:rPr>
                <a:t>)=1,200/1,000−1=20%</a:t>
              </a:r>
              <a:endParaRPr lang="en-US" sz="1100"/>
            </a:p>
          </xdr:txBody>
        </xdr:sp>
      </mc:Fallback>
    </mc:AlternateContent>
    <xdr:clientData/>
  </xdr:oneCellAnchor>
  <xdr:twoCellAnchor>
    <xdr:from>
      <xdr:col>9</xdr:col>
      <xdr:colOff>822476</xdr:colOff>
      <xdr:row>233</xdr:row>
      <xdr:rowOff>18142</xdr:rowOff>
    </xdr:from>
    <xdr:to>
      <xdr:col>10</xdr:col>
      <xdr:colOff>108857</xdr:colOff>
      <xdr:row>234</xdr:row>
      <xdr:rowOff>42333</xdr:rowOff>
    </xdr:to>
    <xdr:sp macro="" textlink="">
      <xdr:nvSpPr>
        <xdr:cNvPr id="31" name="Down Arrow 30">
          <a:extLst>
            <a:ext uri="{FF2B5EF4-FFF2-40B4-BE49-F238E27FC236}">
              <a16:creationId xmlns:a16="http://schemas.microsoft.com/office/drawing/2014/main" id="{121917BB-9D29-84DA-53A4-E0646ED267C3}"/>
            </a:ext>
          </a:extLst>
        </xdr:cNvPr>
        <xdr:cNvSpPr/>
      </xdr:nvSpPr>
      <xdr:spPr>
        <a:xfrm>
          <a:off x="13566140000" y="48253952"/>
          <a:ext cx="114905" cy="22981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72573</xdr:colOff>
      <xdr:row>237</xdr:row>
      <xdr:rowOff>5444</xdr:rowOff>
    </xdr:from>
    <xdr:ext cx="4003523" cy="227178"/>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7F3EA370-B7FB-7549-3BAD-EE5CB5878FF6}"/>
                </a:ext>
              </a:extLst>
            </xdr:cNvPr>
            <xdr:cNvSpPr txBox="1"/>
          </xdr:nvSpPr>
          <xdr:spPr>
            <a:xfrm>
              <a:off x="13563829809" y="49063730"/>
              <a:ext cx="4003523"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d>
                                  <m:dPr>
                                    <m:ctrlPr>
                                      <a:rPr lang="en-US" sz="1100" b="0" i="1">
                                        <a:latin typeface="Cambria Math" panose="02040503050406030204" pitchFamily="18" charset="0"/>
                                      </a:rPr>
                                    </m:ctrlPr>
                                  </m:dPr>
                                  <m:e>
                                    <m:r>
                                      <a:rPr lang="en-US" sz="1100" b="0" i="1">
                                        <a:latin typeface="Cambria Math" panose="02040503050406030204" pitchFamily="18" charset="0"/>
                                      </a:rPr>
                                      <m:t>𝑞𝑢𝑎𝑟𝑡𝑒𝑟</m:t>
                                    </m:r>
                                  </m:e>
                                </m:d>
                              </m:sub>
                            </m:sSub>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7F3EA370-B7FB-7549-3BAD-EE5CB5878FF6}"/>
                </a:ext>
              </a:extLst>
            </xdr:cNvPr>
            <xdr:cNvSpPr txBox="1"/>
          </xdr:nvSpPr>
          <xdr:spPr>
            <a:xfrm>
              <a:off x="13563829809" y="49063730"/>
              <a:ext cx="4003523"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(𝑎𝑛𝑛𝑢𝑎𝑙)=(1+𝑟_𝑒(𝑞𝑢𝑎𝑟𝑡𝑒𝑟)  )^4−1</a:t>
              </a:r>
              <a:endParaRPr lang="en-US" sz="1100"/>
            </a:p>
          </xdr:txBody>
        </xdr:sp>
      </mc:Fallback>
    </mc:AlternateContent>
    <xdr:clientData/>
  </xdr:oneCellAnchor>
  <xdr:oneCellAnchor>
    <xdr:from>
      <xdr:col>8</xdr:col>
      <xdr:colOff>108858</xdr:colOff>
      <xdr:row>238</xdr:row>
      <xdr:rowOff>150587</xdr:rowOff>
    </xdr:from>
    <xdr:ext cx="4003523" cy="176523"/>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6286849C-0EB7-36CE-45ED-A3509052EEA1}"/>
                </a:ext>
              </a:extLst>
            </xdr:cNvPr>
            <xdr:cNvSpPr txBox="1"/>
          </xdr:nvSpPr>
          <xdr:spPr>
            <a:xfrm>
              <a:off x="13563793524" y="49414492"/>
              <a:ext cx="4003523"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m:t>
                            </m:r>
                          </m:e>
                        </m:d>
                      </m:e>
                      <m:sup>
                        <m:r>
                          <a:rPr lang="en-US" sz="1100" b="0" i="1">
                            <a:latin typeface="Cambria Math" panose="02040503050406030204" pitchFamily="18" charset="0"/>
                          </a:rPr>
                          <m:t>4</m:t>
                        </m:r>
                      </m:sup>
                    </m:sSup>
                    <m:r>
                      <a:rPr lang="en-US" sz="1100" b="0" i="1">
                        <a:latin typeface="Cambria Math" panose="02040503050406030204" pitchFamily="18" charset="0"/>
                      </a:rPr>
                      <m:t>−1=107.36%</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6286849C-0EB7-36CE-45ED-A3509052EEA1}"/>
                </a:ext>
              </a:extLst>
            </xdr:cNvPr>
            <xdr:cNvSpPr txBox="1"/>
          </xdr:nvSpPr>
          <xdr:spPr>
            <a:xfrm>
              <a:off x="13563793524" y="49414492"/>
              <a:ext cx="4003523"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(𝑎𝑛𝑛𝑢𝑎𝑙)=(1+20%)^4−1=107.36%</a:t>
              </a:r>
              <a:endParaRPr lang="en-US" sz="1100"/>
            </a:p>
          </xdr:txBody>
        </xdr:sp>
      </mc:Fallback>
    </mc:AlternateContent>
    <xdr:clientData/>
  </xdr:oneCellAnchor>
  <xdr:oneCellAnchor>
    <xdr:from>
      <xdr:col>9</xdr:col>
      <xdr:colOff>789151</xdr:colOff>
      <xdr:row>265</xdr:row>
      <xdr:rowOff>120165</xdr:rowOff>
    </xdr:from>
    <xdr:ext cx="1718031" cy="327077"/>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AD38D62A-126C-0D9C-C73D-EA09F469B310}"/>
                </a:ext>
              </a:extLst>
            </xdr:cNvPr>
            <xdr:cNvSpPr txBox="1"/>
          </xdr:nvSpPr>
          <xdr:spPr>
            <a:xfrm>
              <a:off x="13515055318" y="55095290"/>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10%</m:t>
                        </m:r>
                      </m:num>
                      <m:den>
                        <m:r>
                          <a:rPr lang="he-IL" sz="1100" b="0" i="1">
                            <a:latin typeface="Cambria Math" panose="02040503050406030204" pitchFamily="18" charset="0"/>
                          </a:rPr>
                          <m:t>2</m:t>
                        </m:r>
                      </m:den>
                    </m:f>
                  </m:oMath>
                </m:oMathPara>
              </a14:m>
              <a:endParaRPr lang="en-US" sz="1100"/>
            </a:p>
          </xdr:txBody>
        </xdr:sp>
      </mc:Choice>
      <mc:Fallback xmlns="">
        <xdr:sp macro="" textlink="">
          <xdr:nvSpPr>
            <xdr:cNvPr id="37" name="TextBox 36">
              <a:extLst>
                <a:ext uri="{FF2B5EF4-FFF2-40B4-BE49-F238E27FC236}">
                  <a16:creationId xmlns:a16="http://schemas.microsoft.com/office/drawing/2014/main" id="{AD38D62A-126C-0D9C-C73D-EA09F469B310}"/>
                </a:ext>
              </a:extLst>
            </xdr:cNvPr>
            <xdr:cNvSpPr txBox="1"/>
          </xdr:nvSpPr>
          <xdr:spPr>
            <a:xfrm>
              <a:off x="13515055318" y="55095290"/>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(10%)/2</a:t>
              </a:r>
              <a:endParaRPr lang="en-US" sz="1100"/>
            </a:p>
          </xdr:txBody>
        </xdr:sp>
      </mc:Fallback>
    </mc:AlternateContent>
    <xdr:clientData/>
  </xdr:oneCellAnchor>
  <xdr:twoCellAnchor>
    <xdr:from>
      <xdr:col>10</xdr:col>
      <xdr:colOff>373062</xdr:colOff>
      <xdr:row>264</xdr:row>
      <xdr:rowOff>121942</xdr:rowOff>
    </xdr:from>
    <xdr:to>
      <xdr:col>10</xdr:col>
      <xdr:colOff>386522</xdr:colOff>
      <xdr:row>267</xdr:row>
      <xdr:rowOff>31750</xdr:rowOff>
    </xdr:to>
    <xdr:cxnSp macro="">
      <xdr:nvCxnSpPr>
        <xdr:cNvPr id="59" name="Straight Arrow Connector 58">
          <a:extLst>
            <a:ext uri="{FF2B5EF4-FFF2-40B4-BE49-F238E27FC236}">
              <a16:creationId xmlns:a16="http://schemas.microsoft.com/office/drawing/2014/main" id="{19D0E976-3479-4D36-66FA-45D9265D2022}"/>
            </a:ext>
          </a:extLst>
        </xdr:cNvPr>
        <xdr:cNvCxnSpPr>
          <a:stCxn id="20" idx="2"/>
        </xdr:cNvCxnSpPr>
      </xdr:nvCxnSpPr>
      <xdr:spPr>
        <a:xfrm>
          <a:off x="13516350478" y="54890692"/>
          <a:ext cx="13460" cy="52893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9</xdr:col>
      <xdr:colOff>290583</xdr:colOff>
      <xdr:row>268</xdr:row>
      <xdr:rowOff>7315</xdr:rowOff>
    </xdr:from>
    <xdr:ext cx="1718031" cy="173766"/>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8DEDF257-4C31-DD25-9506-76FF710A87E4}"/>
                </a:ext>
              </a:extLst>
            </xdr:cNvPr>
            <xdr:cNvSpPr txBox="1"/>
          </xdr:nvSpPr>
          <xdr:spPr>
            <a:xfrm>
              <a:off x="13515553886" y="55601565"/>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1+5%</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8DEDF257-4C31-DD25-9506-76FF710A87E4}"/>
                </a:ext>
              </a:extLst>
            </xdr:cNvPr>
            <xdr:cNvSpPr txBox="1"/>
          </xdr:nvSpPr>
          <xdr:spPr>
            <a:xfrm>
              <a:off x="13515553886" y="55601565"/>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1+5%</a:t>
              </a:r>
              <a:endParaRPr lang="en-US" sz="1100"/>
            </a:p>
          </xdr:txBody>
        </xdr:sp>
      </mc:Fallback>
    </mc:AlternateContent>
    <xdr:clientData/>
  </xdr:oneCellAnchor>
  <xdr:oneCellAnchor>
    <xdr:from>
      <xdr:col>8</xdr:col>
      <xdr:colOff>717713</xdr:colOff>
      <xdr:row>265</xdr:row>
      <xdr:rowOff>136040</xdr:rowOff>
    </xdr:from>
    <xdr:ext cx="1718031" cy="32707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E527E768-C8E7-8FA6-4458-2DDC0E4E2827}"/>
                </a:ext>
              </a:extLst>
            </xdr:cNvPr>
            <xdr:cNvSpPr txBox="1"/>
          </xdr:nvSpPr>
          <xdr:spPr>
            <a:xfrm>
              <a:off x="13515952256" y="55111165"/>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10%</m:t>
                        </m:r>
                      </m:num>
                      <m:den>
                        <m:r>
                          <a:rPr lang="he-IL" sz="1100" b="0" i="1">
                            <a:latin typeface="Cambria Math" panose="02040503050406030204" pitchFamily="18" charset="0"/>
                          </a:rPr>
                          <m:t>2</m:t>
                        </m:r>
                      </m:den>
                    </m:f>
                  </m:oMath>
                </m:oMathPara>
              </a14:m>
              <a:endParaRPr lang="en-US" sz="1100"/>
            </a:p>
          </xdr:txBody>
        </xdr:sp>
      </mc:Choice>
      <mc:Fallback xmlns="">
        <xdr:sp macro="" textlink="">
          <xdr:nvSpPr>
            <xdr:cNvPr id="69" name="TextBox 68">
              <a:extLst>
                <a:ext uri="{FF2B5EF4-FFF2-40B4-BE49-F238E27FC236}">
                  <a16:creationId xmlns:a16="http://schemas.microsoft.com/office/drawing/2014/main" id="{E527E768-C8E7-8FA6-4458-2DDC0E4E2827}"/>
                </a:ext>
              </a:extLst>
            </xdr:cNvPr>
            <xdr:cNvSpPr txBox="1"/>
          </xdr:nvSpPr>
          <xdr:spPr>
            <a:xfrm>
              <a:off x="13515952256" y="55111165"/>
              <a:ext cx="1718031" cy="3270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(10%)/2</a:t>
              </a:r>
              <a:endParaRPr lang="en-US" sz="1100"/>
            </a:p>
          </xdr:txBody>
        </xdr:sp>
      </mc:Fallback>
    </mc:AlternateContent>
    <xdr:clientData/>
  </xdr:oneCellAnchor>
  <xdr:oneCellAnchor>
    <xdr:from>
      <xdr:col>6</xdr:col>
      <xdr:colOff>603250</xdr:colOff>
      <xdr:row>265</xdr:row>
      <xdr:rowOff>201612</xdr:rowOff>
    </xdr:from>
    <xdr:ext cx="2248061" cy="338619"/>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5A87214D-7EE2-F636-0B56-E5678D8E6858}"/>
                </a:ext>
              </a:extLst>
            </xdr:cNvPr>
            <xdr:cNvSpPr txBox="1"/>
          </xdr:nvSpPr>
          <xdr:spPr>
            <a:xfrm>
              <a:off x="13517251189" y="55176737"/>
              <a:ext cx="2248061" cy="3386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2</m:t>
                            </m:r>
                          </m:sup>
                        </m:sSup>
                      </m:num>
                      <m:den>
                        <m:r>
                          <a:rPr lang="en-US" sz="1100" b="0" i="1">
                            <a:latin typeface="Cambria Math" panose="02040503050406030204" pitchFamily="18" charset="0"/>
                          </a:rPr>
                          <m:t>1</m:t>
                        </m:r>
                      </m:den>
                    </m:f>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2</m:t>
                        </m:r>
                      </m:sup>
                    </m:sSup>
                    <m:r>
                      <a:rPr lang="en-US" sz="1100" b="0" i="1">
                        <a:latin typeface="Cambria Math" panose="02040503050406030204" pitchFamily="18" charset="0"/>
                      </a:rPr>
                      <m:t>−1</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5A87214D-7EE2-F636-0B56-E5678D8E6858}"/>
                </a:ext>
              </a:extLst>
            </xdr:cNvPr>
            <xdr:cNvSpPr txBox="1"/>
          </xdr:nvSpPr>
          <xdr:spPr>
            <a:xfrm>
              <a:off x="13517251189" y="55176737"/>
              <a:ext cx="2248061" cy="3386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𝑒=(1+5%)^2/1−1=(1+5%)^2−1</a:t>
              </a:r>
              <a:endParaRPr lang="en-US" sz="1100"/>
            </a:p>
          </xdr:txBody>
        </xdr:sp>
      </mc:Fallback>
    </mc:AlternateContent>
    <xdr:clientData/>
  </xdr:oneCellAnchor>
  <xdr:oneCellAnchor>
    <xdr:from>
      <xdr:col>4</xdr:col>
      <xdr:colOff>452438</xdr:colOff>
      <xdr:row>262</xdr:row>
      <xdr:rowOff>130175</xdr:rowOff>
    </xdr:from>
    <xdr:ext cx="2970373" cy="355034"/>
    <mc:AlternateContent xmlns:mc="http://schemas.openxmlformats.org/markup-compatibility/2006" xmlns:a14="http://schemas.microsoft.com/office/drawing/2010/main">
      <mc:Choice Requires="a14">
        <xdr:sp macro="" textlink="">
          <xdr:nvSpPr>
            <xdr:cNvPr id="78" name="TextBox 77">
              <a:extLst>
                <a:ext uri="{FF2B5EF4-FFF2-40B4-BE49-F238E27FC236}">
                  <a16:creationId xmlns:a16="http://schemas.microsoft.com/office/drawing/2014/main" id="{2F5AD42C-46F3-2581-67C3-F93A8395736A}"/>
                </a:ext>
              </a:extLst>
            </xdr:cNvPr>
            <xdr:cNvSpPr txBox="1"/>
          </xdr:nvSpPr>
          <xdr:spPr>
            <a:xfrm>
              <a:off x="13518370377" y="54486175"/>
              <a:ext cx="297037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m:rPr>
                                    <m:sty m:val="p"/>
                                  </m:rPr>
                                  <a:rPr lang="en-US" sz="1100" b="0" i="0">
                                    <a:latin typeface="Cambria Math" panose="02040503050406030204" pitchFamily="18" charset="0"/>
                                  </a:rPr>
                                  <m:t>R</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e>
                        </m:d>
                      </m:e>
                      <m:sup>
                        <m:r>
                          <a:rPr lang="en-US" sz="1100" b="0" i="1">
                            <a:latin typeface="Cambria Math" panose="02040503050406030204" pitchFamily="18" charset="0"/>
                          </a:rPr>
                          <m:t>2</m:t>
                        </m:r>
                      </m:sup>
                    </m:sSup>
                    <m:r>
                      <a:rPr lang="en-US" sz="1100" b="0" i="1">
                        <a:latin typeface="Cambria Math" panose="02040503050406030204" pitchFamily="18" charset="0"/>
                      </a:rPr>
                      <m:t>−1=10.25%</m:t>
                    </m:r>
                  </m:oMath>
                </m:oMathPara>
              </a14:m>
              <a:endParaRPr lang="en-US" sz="1100"/>
            </a:p>
          </xdr:txBody>
        </xdr:sp>
      </mc:Choice>
      <mc:Fallback xmlns="">
        <xdr:sp macro="" textlink="">
          <xdr:nvSpPr>
            <xdr:cNvPr id="78" name="TextBox 77">
              <a:extLst>
                <a:ext uri="{FF2B5EF4-FFF2-40B4-BE49-F238E27FC236}">
                  <a16:creationId xmlns:a16="http://schemas.microsoft.com/office/drawing/2014/main" id="{2F5AD42C-46F3-2581-67C3-F93A8395736A}"/>
                </a:ext>
              </a:extLst>
            </xdr:cNvPr>
            <xdr:cNvSpPr txBox="1"/>
          </xdr:nvSpPr>
          <xdr:spPr>
            <a:xfrm>
              <a:off x="13518370377" y="54486175"/>
              <a:ext cx="297037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𝑒=(1+R/𝑛)^𝑚−1=(1+(10%)/2)^2−1=10.25%</a:t>
              </a:r>
              <a:endParaRPr lang="en-US" sz="1100"/>
            </a:p>
          </xdr:txBody>
        </xdr:sp>
      </mc:Fallback>
    </mc:AlternateContent>
    <xdr:clientData/>
  </xdr:oneCellAnchor>
  <xdr:oneCellAnchor>
    <xdr:from>
      <xdr:col>5</xdr:col>
      <xdr:colOff>515937</xdr:colOff>
      <xdr:row>270</xdr:row>
      <xdr:rowOff>280987</xdr:rowOff>
    </xdr:from>
    <xdr:ext cx="2970373" cy="354328"/>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56928D80-3F29-ECAD-47EF-1B72A12B52B2}"/>
                </a:ext>
              </a:extLst>
            </xdr:cNvPr>
            <xdr:cNvSpPr txBox="1"/>
          </xdr:nvSpPr>
          <xdr:spPr>
            <a:xfrm>
              <a:off x="13517441690" y="56526112"/>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m:rPr>
                                    <m:sty m:val="p"/>
                                  </m:rPr>
                                  <a:rPr lang="en-US" sz="1100" b="0" i="0">
                                    <a:latin typeface="Cambria Math" panose="02040503050406030204" pitchFamily="18" charset="0"/>
                                  </a:rPr>
                                  <m:t>R</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56928D80-3F29-ECAD-47EF-1B72A12B52B2}"/>
                </a:ext>
              </a:extLst>
            </xdr:cNvPr>
            <xdr:cNvSpPr txBox="1"/>
          </xdr:nvSpPr>
          <xdr:spPr>
            <a:xfrm>
              <a:off x="13517441690" y="56526112"/>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𝑒=(1+R/𝑛)^𝑚−1=(1+(12%)/4)^4−1=</a:t>
              </a:r>
              <a:endParaRPr lang="en-US" sz="1100"/>
            </a:p>
          </xdr:txBody>
        </xdr:sp>
      </mc:Fallback>
    </mc:AlternateContent>
    <xdr:clientData/>
  </xdr:oneCellAnchor>
  <xdr:oneCellAnchor>
    <xdr:from>
      <xdr:col>5</xdr:col>
      <xdr:colOff>508000</xdr:colOff>
      <xdr:row>269</xdr:row>
      <xdr:rowOff>82549</xdr:rowOff>
    </xdr:from>
    <xdr:ext cx="2970373" cy="354328"/>
    <mc:AlternateContent xmlns:mc="http://schemas.openxmlformats.org/markup-compatibility/2006" xmlns:a14="http://schemas.microsoft.com/office/drawing/2010/main">
      <mc:Choice Requires="a14">
        <xdr:sp macro="" textlink="">
          <xdr:nvSpPr>
            <xdr:cNvPr id="80" name="TextBox 79">
              <a:extLst>
                <a:ext uri="{FF2B5EF4-FFF2-40B4-BE49-F238E27FC236}">
                  <a16:creationId xmlns:a16="http://schemas.microsoft.com/office/drawing/2014/main" id="{666F957E-DBF5-DEF4-A6DF-60430F30BE2F}"/>
                </a:ext>
              </a:extLst>
            </xdr:cNvPr>
            <xdr:cNvSpPr txBox="1"/>
          </xdr:nvSpPr>
          <xdr:spPr>
            <a:xfrm>
              <a:off x="13517449627" y="55883174"/>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m:rPr>
                                    <m:sty m:val="p"/>
                                  </m:rPr>
                                  <a:rPr lang="en-US" sz="1100" b="0" i="0">
                                    <a:latin typeface="Cambria Math" panose="02040503050406030204" pitchFamily="18" charset="0"/>
                                  </a:rPr>
                                  <m:t>R</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6%</m:t>
                                </m:r>
                              </m:num>
                              <m:den>
                                <m:r>
                                  <a:rPr lang="en-US" sz="1100" b="0" i="1">
                                    <a:latin typeface="Cambria Math" panose="02040503050406030204" pitchFamily="18" charset="0"/>
                                  </a:rPr>
                                  <m:t>12</m:t>
                                </m:r>
                              </m:den>
                            </m:f>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80" name="TextBox 79">
              <a:extLst>
                <a:ext uri="{FF2B5EF4-FFF2-40B4-BE49-F238E27FC236}">
                  <a16:creationId xmlns:a16="http://schemas.microsoft.com/office/drawing/2014/main" id="{666F957E-DBF5-DEF4-A6DF-60430F30BE2F}"/>
                </a:ext>
              </a:extLst>
            </xdr:cNvPr>
            <xdr:cNvSpPr txBox="1"/>
          </xdr:nvSpPr>
          <xdr:spPr>
            <a:xfrm>
              <a:off x="13517449627" y="55883174"/>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𝑒=(1+R/𝑛)^𝑚−1=(1+(6%)/12)^12−1=</a:t>
              </a:r>
              <a:endParaRPr lang="en-US" sz="1100"/>
            </a:p>
          </xdr:txBody>
        </xdr:sp>
      </mc:Fallback>
    </mc:AlternateContent>
    <xdr:clientData/>
  </xdr:oneCellAnchor>
  <xdr:oneCellAnchor>
    <xdr:from>
      <xdr:col>5</xdr:col>
      <xdr:colOff>388937</xdr:colOff>
      <xdr:row>271</xdr:row>
      <xdr:rowOff>241299</xdr:rowOff>
    </xdr:from>
    <xdr:ext cx="2970373" cy="176843"/>
    <mc:AlternateContent xmlns:mc="http://schemas.openxmlformats.org/markup-compatibility/2006" xmlns:a14="http://schemas.microsoft.com/office/drawing/2010/main">
      <mc:Choice Requires="a14">
        <xdr:sp macro="" textlink="">
          <xdr:nvSpPr>
            <xdr:cNvPr id="81" name="TextBox 80">
              <a:extLst>
                <a:ext uri="{FF2B5EF4-FFF2-40B4-BE49-F238E27FC236}">
                  <a16:creationId xmlns:a16="http://schemas.microsoft.com/office/drawing/2014/main" id="{1AE72F57-1D89-25DC-95C2-9F1E6BBC6F07}"/>
                </a:ext>
              </a:extLst>
            </xdr:cNvPr>
            <xdr:cNvSpPr txBox="1"/>
          </xdr:nvSpPr>
          <xdr:spPr>
            <a:xfrm>
              <a:off x="13517568690" y="57145237"/>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1+3%</m:t>
                            </m:r>
                          </m:e>
                        </m:d>
                      </m:e>
                      <m:sup>
                        <m:r>
                          <a:rPr lang="he-IL" sz="1100" b="0" i="1">
                            <a:latin typeface="Cambria Math" panose="02040503050406030204" pitchFamily="18" charset="0"/>
                          </a:rPr>
                          <m:t>12</m:t>
                        </m:r>
                      </m:sup>
                    </m:sSup>
                    <m:r>
                      <a:rPr lang="he-IL" sz="1100" b="0" i="1">
                        <a:latin typeface="Cambria Math" panose="02040503050406030204" pitchFamily="18" charset="0"/>
                      </a:rPr>
                      <m:t>−1=</m:t>
                    </m:r>
                  </m:oMath>
                </m:oMathPara>
              </a14:m>
              <a:endParaRPr lang="en-US" sz="1100"/>
            </a:p>
          </xdr:txBody>
        </xdr:sp>
      </mc:Choice>
      <mc:Fallback xmlns="">
        <xdr:sp macro="" textlink="">
          <xdr:nvSpPr>
            <xdr:cNvPr id="81" name="TextBox 80">
              <a:extLst>
                <a:ext uri="{FF2B5EF4-FFF2-40B4-BE49-F238E27FC236}">
                  <a16:creationId xmlns:a16="http://schemas.microsoft.com/office/drawing/2014/main" id="{1AE72F57-1D89-25DC-95C2-9F1E6BBC6F07}"/>
                </a:ext>
              </a:extLst>
            </xdr:cNvPr>
            <xdr:cNvSpPr txBox="1"/>
          </xdr:nvSpPr>
          <xdr:spPr>
            <a:xfrm>
              <a:off x="13517568690" y="57145237"/>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r>
                <a:rPr lang="he-IL" sz="1100" b="0" i="0">
                  <a:latin typeface="Cambria Math" panose="02040503050406030204" pitchFamily="18" charset="0"/>
                </a:rPr>
                <a:t>(1+3%)^12−1=</a:t>
              </a:r>
              <a:endParaRPr lang="en-US" sz="1100"/>
            </a:p>
          </xdr:txBody>
        </xdr:sp>
      </mc:Fallback>
    </mc:AlternateContent>
    <xdr:clientData/>
  </xdr:oneCellAnchor>
  <xdr:oneCellAnchor>
    <xdr:from>
      <xdr:col>5</xdr:col>
      <xdr:colOff>404813</xdr:colOff>
      <xdr:row>272</xdr:row>
      <xdr:rowOff>249236</xdr:rowOff>
    </xdr:from>
    <xdr:ext cx="2970373" cy="176843"/>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9803041B-1D33-C70A-896F-9ADCF8F65197}"/>
                </a:ext>
              </a:extLst>
            </xdr:cNvPr>
            <xdr:cNvSpPr txBox="1"/>
          </xdr:nvSpPr>
          <xdr:spPr>
            <a:xfrm>
              <a:off x="13517552814" y="57597674"/>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1+5%</m:t>
                            </m:r>
                          </m:e>
                        </m:d>
                      </m:e>
                      <m:sup>
                        <m:r>
                          <a:rPr lang="he-IL" sz="1100" b="0" i="1">
                            <a:latin typeface="Cambria Math" panose="02040503050406030204" pitchFamily="18" charset="0"/>
                          </a:rPr>
                          <m:t>2</m:t>
                        </m:r>
                      </m:sup>
                    </m:sSup>
                    <m:r>
                      <a:rPr lang="he-IL" sz="1100" b="0" i="1">
                        <a:latin typeface="Cambria Math" panose="02040503050406030204" pitchFamily="18" charset="0"/>
                      </a:rPr>
                      <m:t>−1=</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9803041B-1D33-C70A-896F-9ADCF8F65197}"/>
                </a:ext>
              </a:extLst>
            </xdr:cNvPr>
            <xdr:cNvSpPr txBox="1"/>
          </xdr:nvSpPr>
          <xdr:spPr>
            <a:xfrm>
              <a:off x="13517552814" y="57597674"/>
              <a:ext cx="2970373"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(1+5%)^2−1=</a:t>
              </a:r>
              <a:endParaRPr lang="en-US" sz="1100"/>
            </a:p>
          </xdr:txBody>
        </xdr:sp>
      </mc:Fallback>
    </mc:AlternateContent>
    <xdr:clientData/>
  </xdr:oneCellAnchor>
  <xdr:oneCellAnchor>
    <xdr:from>
      <xdr:col>7</xdr:col>
      <xdr:colOff>277813</xdr:colOff>
      <xdr:row>275</xdr:row>
      <xdr:rowOff>249235</xdr:rowOff>
    </xdr:from>
    <xdr:ext cx="2970373" cy="316882"/>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B5BD52D8-267D-92DF-EE56-966E8BAA3201}"/>
                </a:ext>
              </a:extLst>
            </xdr:cNvPr>
            <xdr:cNvSpPr txBox="1"/>
          </xdr:nvSpPr>
          <xdr:spPr>
            <a:xfrm>
              <a:off x="13515965314" y="58931173"/>
              <a:ext cx="29703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100</m:t>
                        </m:r>
                      </m:num>
                      <m:den>
                        <m:r>
                          <a:rPr lang="he-IL" sz="1100" b="0" i="1">
                            <a:latin typeface="Cambria Math" panose="02040503050406030204" pitchFamily="18" charset="0"/>
                          </a:rPr>
                          <m:t>90</m:t>
                        </m:r>
                      </m:den>
                    </m:f>
                    <m:r>
                      <a:rPr lang="he-IL" sz="1100" b="0" i="1">
                        <a:latin typeface="Cambria Math" panose="02040503050406030204" pitchFamily="18" charset="0"/>
                      </a:rPr>
                      <m:t>−1=11.11%</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B5BD52D8-267D-92DF-EE56-966E8BAA3201}"/>
                </a:ext>
              </a:extLst>
            </xdr:cNvPr>
            <xdr:cNvSpPr txBox="1"/>
          </xdr:nvSpPr>
          <xdr:spPr>
            <a:xfrm>
              <a:off x="13515965314" y="58931173"/>
              <a:ext cx="297037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𝑟_</a:t>
              </a:r>
              <a:r>
                <a:rPr lang="en-US" sz="1100" b="0" i="0">
                  <a:latin typeface="Cambria Math" panose="02040503050406030204" pitchFamily="18" charset="0"/>
                </a:rPr>
                <a:t>𝑒=</a:t>
              </a:r>
              <a:r>
                <a:rPr lang="he-IL" sz="1100" b="0" i="0">
                  <a:latin typeface="Cambria Math" panose="02040503050406030204" pitchFamily="18" charset="0"/>
                </a:rPr>
                <a:t>100/90−1=11.11%</a:t>
              </a:r>
              <a:endParaRPr lang="en-US" sz="1100"/>
            </a:p>
          </xdr:txBody>
        </xdr:sp>
      </mc:Fallback>
    </mc:AlternateContent>
    <xdr:clientData/>
  </xdr:oneCellAnchor>
  <xdr:oneCellAnchor>
    <xdr:from>
      <xdr:col>4</xdr:col>
      <xdr:colOff>444501</xdr:colOff>
      <xdr:row>273</xdr:row>
      <xdr:rowOff>257174</xdr:rowOff>
    </xdr:from>
    <xdr:ext cx="2970373" cy="324641"/>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B477EF67-B3E7-E503-7DFF-50F3551B4C2E}"/>
                </a:ext>
              </a:extLst>
            </xdr:cNvPr>
            <xdr:cNvSpPr txBox="1"/>
          </xdr:nvSpPr>
          <xdr:spPr>
            <a:xfrm>
              <a:off x="13518378314" y="58073924"/>
              <a:ext cx="29703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1−10%</m:t>
                        </m:r>
                      </m:den>
                    </m:f>
                    <m:r>
                      <a:rPr lang="en-US" sz="1100" b="0" i="1">
                        <a:latin typeface="Cambria Math" panose="02040503050406030204" pitchFamily="18" charset="0"/>
                      </a:rPr>
                      <m:t>−1=11.11%</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B477EF67-B3E7-E503-7DFF-50F3551B4C2E}"/>
                </a:ext>
              </a:extLst>
            </xdr:cNvPr>
            <xdr:cNvSpPr txBox="1"/>
          </xdr:nvSpPr>
          <xdr:spPr>
            <a:xfrm>
              <a:off x="13518378314" y="58073924"/>
              <a:ext cx="29703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latin typeface="Cambria Math" panose="02040503050406030204" pitchFamily="18" charset="0"/>
                </a:rPr>
                <a:t>𝑑</a:t>
              </a:r>
              <a:r>
                <a:rPr lang="he-IL" sz="1100" b="0" i="0">
                  <a:latin typeface="Cambria Math" panose="02040503050406030204" pitchFamily="18" charset="0"/>
                </a:rPr>
                <a:t>)</a:t>
              </a:r>
              <a:r>
                <a:rPr lang="en-US" sz="1100" b="0" i="0">
                  <a:latin typeface="Cambria Math" panose="02040503050406030204" pitchFamily="18" charset="0"/>
                </a:rPr>
                <a:t>−1=1/(1−10%)−1=11.11%</a:t>
              </a:r>
              <a:endParaRPr lang="en-US" sz="1100"/>
            </a:p>
          </xdr:txBody>
        </xdr:sp>
      </mc:Fallback>
    </mc:AlternateContent>
    <xdr:clientData/>
  </xdr:oneCellAnchor>
  <xdr:oneCellAnchor>
    <xdr:from>
      <xdr:col>12</xdr:col>
      <xdr:colOff>492125</xdr:colOff>
      <xdr:row>270</xdr:row>
      <xdr:rowOff>265112</xdr:rowOff>
    </xdr:from>
    <xdr:ext cx="2970373" cy="354328"/>
    <mc:AlternateContent xmlns:mc="http://schemas.openxmlformats.org/markup-compatibility/2006" xmlns:a14="http://schemas.microsoft.com/office/drawing/2010/main">
      <mc:Choice Requires="a14">
        <xdr:sp macro="" textlink="">
          <xdr:nvSpPr>
            <xdr:cNvPr id="85" name="TextBox 84">
              <a:extLst>
                <a:ext uri="{FF2B5EF4-FFF2-40B4-BE49-F238E27FC236}">
                  <a16:creationId xmlns:a16="http://schemas.microsoft.com/office/drawing/2014/main" id="{25A4EA4A-1166-DEA9-D680-CB0B6C2AC6DE}"/>
                </a:ext>
              </a:extLst>
            </xdr:cNvPr>
            <xdr:cNvSpPr txBox="1"/>
          </xdr:nvSpPr>
          <xdr:spPr>
            <a:xfrm>
              <a:off x="13511623502" y="56510237"/>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solidFill>
                              <a:srgbClr val="0070C0"/>
                            </a:solidFill>
                            <a:latin typeface="Cambria Math" panose="02040503050406030204" pitchFamily="18" charset="0"/>
                          </a:rPr>
                        </m:ctrlPr>
                      </m:sSubPr>
                      <m:e>
                        <m:r>
                          <a:rPr lang="he-IL" sz="1100" b="0" i="1">
                            <a:solidFill>
                              <a:srgbClr val="0070C0"/>
                            </a:solidFill>
                            <a:latin typeface="Cambria Math" panose="02040503050406030204" pitchFamily="18" charset="0"/>
                          </a:rPr>
                          <m:t>𝑟</m:t>
                        </m:r>
                      </m:e>
                      <m:sub>
                        <m:r>
                          <a:rPr lang="en-US" sz="1100" b="0" i="1">
                            <a:solidFill>
                              <a:srgbClr val="0070C0"/>
                            </a:solidFill>
                            <a:latin typeface="Cambria Math" panose="02040503050406030204" pitchFamily="18" charset="0"/>
                          </a:rPr>
                          <m:t>𝑒</m:t>
                        </m:r>
                      </m:sub>
                    </m:sSub>
                    <m:r>
                      <a:rPr lang="en-US" sz="1100" b="0" i="1">
                        <a:solidFill>
                          <a:srgbClr val="0070C0"/>
                        </a:solidFill>
                        <a:latin typeface="Cambria Math" panose="02040503050406030204" pitchFamily="18" charset="0"/>
                      </a:rPr>
                      <m:t>=</m:t>
                    </m:r>
                    <m:sSup>
                      <m:sSupPr>
                        <m:ctrlPr>
                          <a:rPr lang="en-US" sz="1100" b="0" i="1">
                            <a:solidFill>
                              <a:srgbClr val="0070C0"/>
                            </a:solidFill>
                            <a:latin typeface="Cambria Math" panose="02040503050406030204" pitchFamily="18" charset="0"/>
                          </a:rPr>
                        </m:ctrlPr>
                      </m:sSupPr>
                      <m:e>
                        <m:d>
                          <m:dPr>
                            <m:ctrlPr>
                              <a:rPr lang="en-US" sz="1100" b="0" i="1">
                                <a:solidFill>
                                  <a:srgbClr val="0070C0"/>
                                </a:solidFill>
                                <a:latin typeface="Cambria Math" panose="02040503050406030204" pitchFamily="18" charset="0"/>
                              </a:rPr>
                            </m:ctrlPr>
                          </m:dPr>
                          <m:e>
                            <m:r>
                              <a:rPr lang="en-US" sz="1100" b="0" i="0">
                                <a:solidFill>
                                  <a:srgbClr val="0070C0"/>
                                </a:solidFill>
                                <a:latin typeface="Cambria Math" panose="02040503050406030204" pitchFamily="18" charset="0"/>
                              </a:rPr>
                              <m:t>1+</m:t>
                            </m:r>
                            <m:f>
                              <m:fPr>
                                <m:ctrlPr>
                                  <a:rPr lang="en-US" sz="1100" b="0" i="1">
                                    <a:solidFill>
                                      <a:srgbClr val="0070C0"/>
                                    </a:solidFill>
                                    <a:latin typeface="Cambria Math" panose="02040503050406030204" pitchFamily="18" charset="0"/>
                                  </a:rPr>
                                </m:ctrlPr>
                              </m:fPr>
                              <m:num>
                                <m:r>
                                  <m:rPr>
                                    <m:sty m:val="p"/>
                                  </m:rPr>
                                  <a:rPr lang="en-US" sz="1100" b="0" i="0">
                                    <a:solidFill>
                                      <a:srgbClr val="0070C0"/>
                                    </a:solidFill>
                                    <a:latin typeface="Cambria Math" panose="02040503050406030204" pitchFamily="18" charset="0"/>
                                  </a:rPr>
                                  <m:t>R</m:t>
                                </m:r>
                              </m:num>
                              <m:den>
                                <m:r>
                                  <a:rPr lang="en-US" sz="1100" b="0" i="1">
                                    <a:solidFill>
                                      <a:srgbClr val="0070C0"/>
                                    </a:solidFill>
                                    <a:latin typeface="Cambria Math" panose="02040503050406030204" pitchFamily="18" charset="0"/>
                                  </a:rPr>
                                  <m:t>𝑛</m:t>
                                </m:r>
                              </m:den>
                            </m:f>
                          </m:e>
                        </m:d>
                      </m:e>
                      <m:sup>
                        <m:r>
                          <a:rPr lang="en-US" sz="1100" b="0" i="1">
                            <a:solidFill>
                              <a:srgbClr val="0070C0"/>
                            </a:solidFill>
                            <a:latin typeface="Cambria Math" panose="02040503050406030204" pitchFamily="18" charset="0"/>
                          </a:rPr>
                          <m:t>𝑚</m:t>
                        </m:r>
                      </m:sup>
                    </m:sSup>
                    <m:r>
                      <a:rPr lang="en-US" sz="1100" b="0" i="1">
                        <a:solidFill>
                          <a:srgbClr val="0070C0"/>
                        </a:solidFill>
                        <a:latin typeface="Cambria Math" panose="02040503050406030204" pitchFamily="18" charset="0"/>
                      </a:rPr>
                      <m:t>−1=</m:t>
                    </m:r>
                    <m:sSup>
                      <m:sSupPr>
                        <m:ctrlPr>
                          <a:rPr lang="en-US" sz="1100" b="0" i="1">
                            <a:solidFill>
                              <a:srgbClr val="0070C0"/>
                            </a:solidFill>
                            <a:latin typeface="Cambria Math" panose="02040503050406030204" pitchFamily="18" charset="0"/>
                          </a:rPr>
                        </m:ctrlPr>
                      </m:sSupPr>
                      <m:e>
                        <m:d>
                          <m:dPr>
                            <m:ctrlPr>
                              <a:rPr lang="en-US" sz="1100" b="0" i="1">
                                <a:solidFill>
                                  <a:srgbClr val="0070C0"/>
                                </a:solidFill>
                                <a:latin typeface="Cambria Math" panose="02040503050406030204" pitchFamily="18" charset="0"/>
                              </a:rPr>
                            </m:ctrlPr>
                          </m:dPr>
                          <m:e>
                            <m:r>
                              <a:rPr lang="en-US" sz="1100" b="0" i="1">
                                <a:solidFill>
                                  <a:srgbClr val="0070C0"/>
                                </a:solidFill>
                                <a:latin typeface="Cambria Math" panose="02040503050406030204" pitchFamily="18" charset="0"/>
                              </a:rPr>
                              <m:t>1+</m:t>
                            </m:r>
                            <m:f>
                              <m:fPr>
                                <m:ctrlPr>
                                  <a:rPr lang="en-US" sz="1100" b="0" i="1">
                                    <a:solidFill>
                                      <a:srgbClr val="0070C0"/>
                                    </a:solidFill>
                                    <a:latin typeface="Cambria Math" panose="02040503050406030204" pitchFamily="18" charset="0"/>
                                  </a:rPr>
                                </m:ctrlPr>
                              </m:fPr>
                              <m:num>
                                <m:r>
                                  <a:rPr lang="en-US" sz="1100" b="0" i="1">
                                    <a:solidFill>
                                      <a:srgbClr val="0070C0"/>
                                    </a:solidFill>
                                    <a:latin typeface="Cambria Math" panose="02040503050406030204" pitchFamily="18" charset="0"/>
                                  </a:rPr>
                                  <m:t>12%</m:t>
                                </m:r>
                              </m:num>
                              <m:den>
                                <m:r>
                                  <a:rPr lang="en-US" sz="1100" b="0" i="1">
                                    <a:solidFill>
                                      <a:srgbClr val="0070C0"/>
                                    </a:solidFill>
                                    <a:latin typeface="Cambria Math" panose="02040503050406030204" pitchFamily="18" charset="0"/>
                                  </a:rPr>
                                  <m:t>4</m:t>
                                </m:r>
                              </m:den>
                            </m:f>
                          </m:e>
                        </m:d>
                      </m:e>
                      <m:sup>
                        <m:r>
                          <a:rPr lang="he-IL" sz="1100" b="0" i="1">
                            <a:solidFill>
                              <a:srgbClr val="0070C0"/>
                            </a:solidFill>
                            <a:latin typeface="Cambria Math" panose="02040503050406030204" pitchFamily="18" charset="0"/>
                          </a:rPr>
                          <m:t>3</m:t>
                        </m:r>
                      </m:sup>
                    </m:sSup>
                    <m:r>
                      <a:rPr lang="en-US" sz="1100" b="0" i="1">
                        <a:solidFill>
                          <a:srgbClr val="0070C0"/>
                        </a:solidFill>
                        <a:latin typeface="Cambria Math" panose="02040503050406030204" pitchFamily="18" charset="0"/>
                      </a:rPr>
                      <m:t>−1=</m:t>
                    </m:r>
                  </m:oMath>
                </m:oMathPara>
              </a14:m>
              <a:endParaRPr lang="en-US" sz="1100">
                <a:solidFill>
                  <a:srgbClr val="0070C0"/>
                </a:solidFill>
              </a:endParaRPr>
            </a:p>
          </xdr:txBody>
        </xdr:sp>
      </mc:Choice>
      <mc:Fallback xmlns="">
        <xdr:sp macro="" textlink="">
          <xdr:nvSpPr>
            <xdr:cNvPr id="85" name="TextBox 84">
              <a:extLst>
                <a:ext uri="{FF2B5EF4-FFF2-40B4-BE49-F238E27FC236}">
                  <a16:creationId xmlns:a16="http://schemas.microsoft.com/office/drawing/2014/main" id="{25A4EA4A-1166-DEA9-D680-CB0B6C2AC6DE}"/>
                </a:ext>
              </a:extLst>
            </xdr:cNvPr>
            <xdr:cNvSpPr txBox="1"/>
          </xdr:nvSpPr>
          <xdr:spPr>
            <a:xfrm>
              <a:off x="13511623502" y="56510237"/>
              <a:ext cx="29703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70C0"/>
                  </a:solidFill>
                  <a:latin typeface="Cambria Math" panose="02040503050406030204" pitchFamily="18" charset="0"/>
                </a:rPr>
                <a:t>𝑟_</a:t>
              </a:r>
              <a:r>
                <a:rPr lang="en-US" sz="1100" b="0" i="0">
                  <a:solidFill>
                    <a:srgbClr val="0070C0"/>
                  </a:solidFill>
                  <a:latin typeface="Cambria Math" panose="02040503050406030204" pitchFamily="18" charset="0"/>
                </a:rPr>
                <a:t>𝑒=(1+R/𝑛)^𝑚−1=(1+(12%)/4)^</a:t>
              </a:r>
              <a:r>
                <a:rPr lang="he-IL" sz="1100" b="0" i="0">
                  <a:solidFill>
                    <a:srgbClr val="0070C0"/>
                  </a:solidFill>
                  <a:latin typeface="Cambria Math" panose="02040503050406030204" pitchFamily="18" charset="0"/>
                </a:rPr>
                <a:t>3</a:t>
              </a:r>
              <a:r>
                <a:rPr lang="en-US" sz="1100" b="0" i="0">
                  <a:solidFill>
                    <a:srgbClr val="0070C0"/>
                  </a:solidFill>
                  <a:latin typeface="Cambria Math" panose="02040503050406030204" pitchFamily="18" charset="0"/>
                </a:rPr>
                <a:t>−1=</a:t>
              </a:r>
              <a:endParaRPr lang="en-US" sz="1100">
                <a:solidFill>
                  <a:srgbClr val="0070C0"/>
                </a:solidFill>
              </a:endParaRPr>
            </a:p>
          </xdr:txBody>
        </xdr:sp>
      </mc:Fallback>
    </mc:AlternateContent>
    <xdr:clientData/>
  </xdr:oneCellAnchor>
  <xdr:twoCellAnchor>
    <xdr:from>
      <xdr:col>12</xdr:col>
      <xdr:colOff>500062</xdr:colOff>
      <xdr:row>269</xdr:row>
      <xdr:rowOff>127000</xdr:rowOff>
    </xdr:from>
    <xdr:to>
      <xdr:col>16</xdr:col>
      <xdr:colOff>801687</xdr:colOff>
      <xdr:row>270</xdr:row>
      <xdr:rowOff>127000</xdr:rowOff>
    </xdr:to>
    <xdr:sp macro="" textlink="">
      <xdr:nvSpPr>
        <xdr:cNvPr id="86" name="Rounded Rectangle 85">
          <a:extLst>
            <a:ext uri="{FF2B5EF4-FFF2-40B4-BE49-F238E27FC236}">
              <a16:creationId xmlns:a16="http://schemas.microsoft.com/office/drawing/2014/main" id="{38B63540-66AE-EE0E-F14B-E4AE14F88DD5}"/>
            </a:ext>
          </a:extLst>
        </xdr:cNvPr>
        <xdr:cNvSpPr/>
      </xdr:nvSpPr>
      <xdr:spPr>
        <a:xfrm>
          <a:off x="13510982313" y="55927625"/>
          <a:ext cx="3603625" cy="44450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900"/>
            <a:t>כל עוד אין שינוי בריבית</a:t>
          </a:r>
          <a:r>
            <a:rPr lang="he-IL" sz="900" baseline="0"/>
            <a:t> הנקובה ותדירות חישובה השבר בבסיס החזקה R</a:t>
          </a:r>
          <a:r>
            <a:rPr lang="en-US" sz="900" baseline="0"/>
            <a:t> / n</a:t>
          </a:r>
          <a:r>
            <a:rPr lang="he-IL" sz="900" baseline="0"/>
            <a:t> זהה, רק המעריך משתנה</a:t>
          </a:r>
          <a:endParaRPr lang="en-US" sz="900"/>
        </a:p>
      </xdr:txBody>
    </xdr:sp>
    <xdr:clientData/>
  </xdr:twoCellAnchor>
  <xdr:oneCellAnchor>
    <xdr:from>
      <xdr:col>8</xdr:col>
      <xdr:colOff>539751</xdr:colOff>
      <xdr:row>279</xdr:row>
      <xdr:rowOff>26987</xdr:rowOff>
    </xdr:from>
    <xdr:ext cx="3041811" cy="355034"/>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09A1BEDB-83DB-A48D-2F81-BBE8727754D0}"/>
                </a:ext>
              </a:extLst>
            </xdr:cNvPr>
            <xdr:cNvSpPr txBox="1"/>
          </xdr:nvSpPr>
          <xdr:spPr>
            <a:xfrm>
              <a:off x="13514806438" y="60399612"/>
              <a:ext cx="3041811"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6%</m:t>
                                </m:r>
                              </m:num>
                              <m:den>
                                <m:r>
                                  <a:rPr lang="he-IL" sz="1100" b="0" i="1">
                                    <a:latin typeface="Cambria Math" panose="02040503050406030204" pitchFamily="18" charset="0"/>
                                  </a:rPr>
                                  <m:t>6</m:t>
                                </m:r>
                              </m:den>
                            </m:f>
                          </m:e>
                        </m:d>
                      </m:e>
                      <m:sup>
                        <m:r>
                          <a:rPr lang="he-IL" sz="1100" b="0" i="1">
                            <a:latin typeface="Cambria Math" panose="02040503050406030204" pitchFamily="18" charset="0"/>
                          </a:rPr>
                          <m:t>12</m:t>
                        </m:r>
                      </m:sup>
                    </m:sSup>
                    <m:r>
                      <a:rPr lang="he-IL" sz="1100" b="0" i="1">
                        <a:latin typeface="Cambria Math" panose="02040503050406030204" pitchFamily="18" charset="0"/>
                      </a:rPr>
                      <m:t>−1=12.683%</m:t>
                    </m:r>
                  </m:oMath>
                </m:oMathPara>
              </a14:m>
              <a:endParaRPr lang="en-US" sz="1100"/>
            </a:p>
          </xdr:txBody>
        </xdr:sp>
      </mc:Choice>
      <mc:Fallback xmlns="">
        <xdr:sp macro="" textlink="">
          <xdr:nvSpPr>
            <xdr:cNvPr id="87" name="TextBox 86">
              <a:extLst>
                <a:ext uri="{FF2B5EF4-FFF2-40B4-BE49-F238E27FC236}">
                  <a16:creationId xmlns:a16="http://schemas.microsoft.com/office/drawing/2014/main" id="{09A1BEDB-83DB-A48D-2F81-BBE8727754D0}"/>
                </a:ext>
              </a:extLst>
            </xdr:cNvPr>
            <xdr:cNvSpPr txBox="1"/>
          </xdr:nvSpPr>
          <xdr:spPr>
            <a:xfrm>
              <a:off x="13514806438" y="60399612"/>
              <a:ext cx="3041811"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a:t>
              </a:r>
              <a:r>
                <a:rPr lang="he-IL" sz="1100" b="0" i="0">
                  <a:latin typeface="Cambria Math" panose="02040503050406030204" pitchFamily="18" charset="0"/>
                </a:rPr>
                <a:t>(1+(6%)/6)^12−1=12.683%</a:t>
              </a:r>
              <a:endParaRPr lang="en-US" sz="1100"/>
            </a:p>
          </xdr:txBody>
        </xdr:sp>
      </mc:Fallback>
    </mc:AlternateContent>
    <xdr:clientData/>
  </xdr:oneCellAnchor>
  <xdr:oneCellAnchor>
    <xdr:from>
      <xdr:col>1</xdr:col>
      <xdr:colOff>630971</xdr:colOff>
      <xdr:row>312</xdr:row>
      <xdr:rowOff>20724</xdr:rowOff>
    </xdr:from>
    <xdr:ext cx="1700712" cy="340158"/>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A4E089F9-AD54-44FD-1930-4EFCA8C48419}"/>
                </a:ext>
              </a:extLst>
            </xdr:cNvPr>
            <xdr:cNvSpPr txBox="1"/>
          </xdr:nvSpPr>
          <xdr:spPr>
            <a:xfrm>
              <a:off x="13521938005" y="67219599"/>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88" name="TextBox 87">
              <a:extLst>
                <a:ext uri="{FF2B5EF4-FFF2-40B4-BE49-F238E27FC236}">
                  <a16:creationId xmlns:a16="http://schemas.microsoft.com/office/drawing/2014/main" id="{A4E089F9-AD54-44FD-1930-4EFCA8C48419}"/>
                </a:ext>
              </a:extLst>
            </xdr:cNvPr>
            <xdr:cNvSpPr txBox="1"/>
          </xdr:nvSpPr>
          <xdr:spPr>
            <a:xfrm>
              <a:off x="13521938005" y="67219599"/>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oneCellAnchor>
    <xdr:from>
      <xdr:col>5</xdr:col>
      <xdr:colOff>107095</xdr:colOff>
      <xdr:row>324</xdr:row>
      <xdr:rowOff>163599</xdr:rowOff>
    </xdr:from>
    <xdr:ext cx="1700712" cy="340158"/>
    <mc:AlternateContent xmlns:mc="http://schemas.openxmlformats.org/markup-compatibility/2006" xmlns:a14="http://schemas.microsoft.com/office/drawing/2010/main">
      <mc:Choice Requires="a14">
        <xdr:sp macro="" textlink="">
          <xdr:nvSpPr>
            <xdr:cNvPr id="89" name="TextBox 88">
              <a:extLst>
                <a:ext uri="{FF2B5EF4-FFF2-40B4-BE49-F238E27FC236}">
                  <a16:creationId xmlns:a16="http://schemas.microsoft.com/office/drawing/2014/main" id="{D7A85202-A008-3FFC-746E-0410EA74DC14}"/>
                </a:ext>
              </a:extLst>
            </xdr:cNvPr>
            <xdr:cNvSpPr txBox="1"/>
          </xdr:nvSpPr>
          <xdr:spPr>
            <a:xfrm>
              <a:off x="13519120193" y="69838974"/>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89" name="TextBox 88">
              <a:extLst>
                <a:ext uri="{FF2B5EF4-FFF2-40B4-BE49-F238E27FC236}">
                  <a16:creationId xmlns:a16="http://schemas.microsoft.com/office/drawing/2014/main" id="{D7A85202-A008-3FFC-746E-0410EA74DC14}"/>
                </a:ext>
              </a:extLst>
            </xdr:cNvPr>
            <xdr:cNvSpPr txBox="1"/>
          </xdr:nvSpPr>
          <xdr:spPr>
            <a:xfrm>
              <a:off x="13519120193" y="69838974"/>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twoCellAnchor>
    <xdr:from>
      <xdr:col>2</xdr:col>
      <xdr:colOff>52849</xdr:colOff>
      <xdr:row>330</xdr:row>
      <xdr:rowOff>190659</xdr:rowOff>
    </xdr:from>
    <xdr:to>
      <xdr:col>2</xdr:col>
      <xdr:colOff>52849</xdr:colOff>
      <xdr:row>332</xdr:row>
      <xdr:rowOff>73631</xdr:rowOff>
    </xdr:to>
    <xdr:cxnSp macro="">
      <xdr:nvCxnSpPr>
        <xdr:cNvPr id="90" name="Straight Arrow Connector 89">
          <a:extLst>
            <a:ext uri="{FF2B5EF4-FFF2-40B4-BE49-F238E27FC236}">
              <a16:creationId xmlns:a16="http://schemas.microsoft.com/office/drawing/2014/main" id="{3D39025C-1475-B5A5-B290-7BAC5F578EE8}"/>
            </a:ext>
          </a:extLst>
        </xdr:cNvPr>
        <xdr:cNvCxnSpPr/>
      </xdr:nvCxnSpPr>
      <xdr:spPr>
        <a:xfrm>
          <a:off x="13523391339" y="71120159"/>
          <a:ext cx="0" cy="2957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635000</xdr:colOff>
      <xdr:row>333</xdr:row>
      <xdr:rowOff>150813</xdr:rowOff>
    </xdr:from>
    <xdr:to>
      <xdr:col>14</xdr:col>
      <xdr:colOff>158750</xdr:colOff>
      <xdr:row>342</xdr:row>
      <xdr:rowOff>63500</xdr:rowOff>
    </xdr:to>
    <xdr:sp macro="" textlink="">
      <xdr:nvSpPr>
        <xdr:cNvPr id="91" name="Rounded Rectangle 90">
          <a:extLst>
            <a:ext uri="{FF2B5EF4-FFF2-40B4-BE49-F238E27FC236}">
              <a16:creationId xmlns:a16="http://schemas.microsoft.com/office/drawing/2014/main" id="{FCAE1164-F9CC-0B22-4F57-2BE741064933}"/>
            </a:ext>
          </a:extLst>
        </xdr:cNvPr>
        <xdr:cNvSpPr/>
      </xdr:nvSpPr>
      <xdr:spPr>
        <a:xfrm>
          <a:off x="13513276250" y="71699438"/>
          <a:ext cx="3651250" cy="177006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תקופת העסקה לא רלוונטית כאן.</a:t>
          </a:r>
        </a:p>
        <a:p>
          <a:pPr algn="r" rtl="1"/>
          <a:r>
            <a:rPr lang="he-IL" sz="1100"/>
            <a:t>מדוע? משום שדרשו ריבית אפקטיבית לשנה, ולא ריבית אפקטיבית לתקופת העסקה.</a:t>
          </a:r>
        </a:p>
        <a:p>
          <a:pPr algn="r" rtl="1"/>
          <a:r>
            <a:rPr lang="he-IL" sz="1100"/>
            <a:t>משל למה הדבר דומה?</a:t>
          </a:r>
        </a:p>
        <a:p>
          <a:pPr algn="r" rtl="1"/>
          <a:r>
            <a:rPr lang="he-IL" sz="1100"/>
            <a:t>אם נשאל ״כמה עולה ליטר דלק״ האם התשובה תשתנה במידה והחלטתי לרכוש חצי ליטר?</a:t>
          </a:r>
        </a:p>
        <a:p>
          <a:pPr algn="r" rtl="1"/>
          <a:r>
            <a:rPr lang="he-IL" sz="1100"/>
            <a:t>התשובה היא - לא. </a:t>
          </a:r>
        </a:p>
        <a:p>
          <a:pPr algn="r" rtl="1"/>
          <a:r>
            <a:rPr lang="he-IL" sz="1100"/>
            <a:t>בדיוק אותו עקרון. חישוב</a:t>
          </a:r>
          <a:r>
            <a:rPr lang="he-IL" sz="1100" baseline="0"/>
            <a:t> הריבית הוא לתקופה הנדרשת, גם אם היא שונה מתקופת העסקה. לכן עסקתי פה רק בשנה.</a:t>
          </a:r>
          <a:endParaRPr lang="en-US" sz="1100"/>
        </a:p>
      </xdr:txBody>
    </xdr:sp>
    <xdr:clientData/>
  </xdr:twoCellAnchor>
  <xdr:oneCellAnchor>
    <xdr:from>
      <xdr:col>11</xdr:col>
      <xdr:colOff>103187</xdr:colOff>
      <xdr:row>346</xdr:row>
      <xdr:rowOff>106363</xdr:rowOff>
    </xdr:from>
    <xdr:ext cx="1882936" cy="316882"/>
    <mc:AlternateContent xmlns:mc="http://schemas.openxmlformats.org/markup-compatibility/2006" xmlns:a14="http://schemas.microsoft.com/office/drawing/2010/main">
      <mc:Choice Requires="a14">
        <xdr:sp macro="" textlink="">
          <xdr:nvSpPr>
            <xdr:cNvPr id="92" name="TextBox 91">
              <a:extLst>
                <a:ext uri="{FF2B5EF4-FFF2-40B4-BE49-F238E27FC236}">
                  <a16:creationId xmlns:a16="http://schemas.microsoft.com/office/drawing/2014/main" id="{C114A010-45DC-1935-C9DE-16F1182D2C36}"/>
                </a:ext>
              </a:extLst>
            </xdr:cNvPr>
            <xdr:cNvSpPr txBox="1"/>
          </xdr:nvSpPr>
          <xdr:spPr>
            <a:xfrm>
              <a:off x="13513925377" y="74337863"/>
              <a:ext cx="188293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92" name="TextBox 91">
              <a:extLst>
                <a:ext uri="{FF2B5EF4-FFF2-40B4-BE49-F238E27FC236}">
                  <a16:creationId xmlns:a16="http://schemas.microsoft.com/office/drawing/2014/main" id="{C114A010-45DC-1935-C9DE-16F1182D2C36}"/>
                </a:ext>
              </a:extLst>
            </xdr:cNvPr>
            <xdr:cNvSpPr txBox="1"/>
          </xdr:nvSpPr>
          <xdr:spPr>
            <a:xfrm>
              <a:off x="13513925377" y="74337863"/>
              <a:ext cx="1882936"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𝑟_𝑒=1/(1−𝑑)−1</a:t>
              </a:r>
              <a:endParaRPr lang="en-US" sz="1100"/>
            </a:p>
          </xdr:txBody>
        </xdr:sp>
      </mc:Fallback>
    </mc:AlternateContent>
    <xdr:clientData/>
  </xdr:oneCellAnchor>
  <xdr:oneCellAnchor>
    <xdr:from>
      <xdr:col>11</xdr:col>
      <xdr:colOff>492124</xdr:colOff>
      <xdr:row>352</xdr:row>
      <xdr:rowOff>169863</xdr:rowOff>
    </xdr:from>
    <xdr:ext cx="1882936" cy="324641"/>
    <mc:AlternateContent xmlns:mc="http://schemas.openxmlformats.org/markup-compatibility/2006" xmlns:a14="http://schemas.microsoft.com/office/drawing/2010/main">
      <mc:Choice Requires="a14">
        <xdr:sp macro="" textlink="">
          <xdr:nvSpPr>
            <xdr:cNvPr id="93" name="TextBox 92">
              <a:extLst>
                <a:ext uri="{FF2B5EF4-FFF2-40B4-BE49-F238E27FC236}">
                  <a16:creationId xmlns:a16="http://schemas.microsoft.com/office/drawing/2014/main" id="{1CC2A4BA-82CA-3304-BDD6-91B0D327D94E}"/>
                </a:ext>
              </a:extLst>
            </xdr:cNvPr>
            <xdr:cNvSpPr txBox="1"/>
          </xdr:nvSpPr>
          <xdr:spPr>
            <a:xfrm>
              <a:off x="13513536440" y="75639613"/>
              <a:ext cx="1882936"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he-IL" sz="1100" b="0" i="1">
                            <a:latin typeface="Cambria Math" panose="02040503050406030204" pitchFamily="18" charset="0"/>
                          </a:rPr>
                          <m:t>30%</m:t>
                        </m:r>
                      </m:den>
                    </m:f>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93" name="TextBox 92">
              <a:extLst>
                <a:ext uri="{FF2B5EF4-FFF2-40B4-BE49-F238E27FC236}">
                  <a16:creationId xmlns:a16="http://schemas.microsoft.com/office/drawing/2014/main" id="{1CC2A4BA-82CA-3304-BDD6-91B0D327D94E}"/>
                </a:ext>
              </a:extLst>
            </xdr:cNvPr>
            <xdr:cNvSpPr txBox="1"/>
          </xdr:nvSpPr>
          <xdr:spPr>
            <a:xfrm>
              <a:off x="13513536440" y="75639613"/>
              <a:ext cx="1882936"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a:t>
              </a:r>
              <a:r>
                <a:rPr lang="he-IL" sz="1100" b="0" i="0">
                  <a:latin typeface="Cambria Math" panose="02040503050406030204" pitchFamily="18" charset="0"/>
                </a:rPr>
                <a:t>30%</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10</xdr:col>
      <xdr:colOff>492125</xdr:colOff>
      <xdr:row>357</xdr:row>
      <xdr:rowOff>138113</xdr:rowOff>
    </xdr:from>
    <xdr:ext cx="4208624" cy="287964"/>
    <mc:AlternateContent xmlns:mc="http://schemas.openxmlformats.org/markup-compatibility/2006" xmlns:a14="http://schemas.microsoft.com/office/drawing/2010/main">
      <mc:Choice Requires="a14">
        <xdr:sp macro="" textlink="">
          <xdr:nvSpPr>
            <xdr:cNvPr id="94" name="TextBox 93">
              <a:extLst>
                <a:ext uri="{FF2B5EF4-FFF2-40B4-BE49-F238E27FC236}">
                  <a16:creationId xmlns:a16="http://schemas.microsoft.com/office/drawing/2014/main" id="{C988D75F-0792-EFFF-1DD9-8EE443240A21}"/>
                </a:ext>
              </a:extLst>
            </xdr:cNvPr>
            <xdr:cNvSpPr txBox="1"/>
          </xdr:nvSpPr>
          <xdr:spPr>
            <a:xfrm>
              <a:off x="13512036251" y="76639738"/>
              <a:ext cx="4208624"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r>
                                  <a:rPr lang="en-US" sz="1100" b="0" i="1">
                                    <a:latin typeface="Cambria Math" panose="02040503050406030204" pitchFamily="18" charset="0"/>
                                  </a:rPr>
                                  <m:t>5</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1+42.857%</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94" name="TextBox 93">
              <a:extLst>
                <a:ext uri="{FF2B5EF4-FFF2-40B4-BE49-F238E27FC236}">
                  <a16:creationId xmlns:a16="http://schemas.microsoft.com/office/drawing/2014/main" id="{C988D75F-0792-EFFF-1DD9-8EE443240A21}"/>
                </a:ext>
              </a:extLst>
            </xdr:cNvPr>
            <xdr:cNvSpPr txBox="1"/>
          </xdr:nvSpPr>
          <xdr:spPr>
            <a:xfrm>
              <a:off x="13512036251" y="76639738"/>
              <a:ext cx="4208624"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(𝑎𝑛𝑛𝑢𝑎𝑙)=(1+𝑟_𝑒5𝑦𝑒𝑎𝑟𝑠 )^(1/5)−1=(1+42.857%)^(1/5)−1=</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oneCellAnchor>
    <xdr:from>
      <xdr:col>4</xdr:col>
      <xdr:colOff>742141</xdr:colOff>
      <xdr:row>119</xdr:row>
      <xdr:rowOff>49754</xdr:rowOff>
    </xdr:from>
    <xdr:ext cx="2221520" cy="253403"/>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−1=3%</m:t>
                    </m:r>
                  </m:oMath>
                </m:oMathPara>
              </a14:m>
              <a:endParaRPr lang="en-US" sz="1100"/>
            </a:p>
          </xdr:txBody>
        </xdr:sp>
      </mc:Choice>
      <mc:Fallback xmlns="">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𝑟_𝑒=(1+6.09%)^(1/2)−1=3%</a:t>
              </a:r>
              <a:endParaRPr lang="en-US" sz="1100"/>
            </a:p>
          </xdr:txBody>
        </xdr:sp>
      </mc:Fallback>
    </mc:AlternateContent>
    <xdr:clientData/>
  </xdr:oneCellAnchor>
  <xdr:oneCellAnchor>
    <xdr:from>
      <xdr:col>4</xdr:col>
      <xdr:colOff>167244</xdr:colOff>
      <xdr:row>123</xdr:row>
      <xdr:rowOff>65432</xdr:rowOff>
    </xdr:from>
    <xdr:ext cx="2806870" cy="48474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twoCellAnchor>
    <xdr:from>
      <xdr:col>7</xdr:col>
      <xdr:colOff>141112</xdr:colOff>
      <xdr:row>125</xdr:row>
      <xdr:rowOff>57490</xdr:rowOff>
    </xdr:from>
    <xdr:to>
      <xdr:col>7</xdr:col>
      <xdr:colOff>146338</xdr:colOff>
      <xdr:row>127</xdr:row>
      <xdr:rowOff>67942</xdr:rowOff>
    </xdr:to>
    <xdr:cxnSp macro="">
      <xdr:nvCxnSpPr>
        <xdr:cNvPr id="5" name="Straight Arrow Connector 4">
          <a:extLst>
            <a:ext uri="{FF2B5EF4-FFF2-40B4-BE49-F238E27FC236}">
              <a16:creationId xmlns:a16="http://schemas.microsoft.com/office/drawing/2014/main" id="{65028CBF-45F5-1DBC-A9F3-4105EAFB8328}"/>
            </a:ext>
          </a:extLst>
        </xdr:cNvPr>
        <xdr:cNvCxnSpPr/>
      </xdr:nvCxnSpPr>
      <xdr:spPr>
        <a:xfrm>
          <a:off x="13523346749" y="9433539"/>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815309</xdr:colOff>
      <xdr:row>125</xdr:row>
      <xdr:rowOff>146338</xdr:rowOff>
    </xdr:from>
    <xdr:to>
      <xdr:col>5</xdr:col>
      <xdr:colOff>820535</xdr:colOff>
      <xdr:row>127</xdr:row>
      <xdr:rowOff>156790</xdr:rowOff>
    </xdr:to>
    <xdr:cxnSp macro="">
      <xdr:nvCxnSpPr>
        <xdr:cNvPr id="6" name="Straight Arrow Connector 5">
          <a:extLst>
            <a:ext uri="{FF2B5EF4-FFF2-40B4-BE49-F238E27FC236}">
              <a16:creationId xmlns:a16="http://schemas.microsoft.com/office/drawing/2014/main" id="{FA86E5F8-5D17-9ED2-FF55-A15CDC36D0E1}"/>
            </a:ext>
          </a:extLst>
        </xdr:cNvPr>
        <xdr:cNvCxnSpPr/>
      </xdr:nvCxnSpPr>
      <xdr:spPr>
        <a:xfrm>
          <a:off x="13524324074" y="9522387"/>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229959</xdr:colOff>
      <xdr:row>125</xdr:row>
      <xdr:rowOff>172469</xdr:rowOff>
    </xdr:from>
    <xdr:to>
      <xdr:col>4</xdr:col>
      <xdr:colOff>658519</xdr:colOff>
      <xdr:row>128</xdr:row>
      <xdr:rowOff>10453</xdr:rowOff>
    </xdr:to>
    <xdr:cxnSp macro="">
      <xdr:nvCxnSpPr>
        <xdr:cNvPr id="7" name="Straight Arrow Connector 6">
          <a:extLst>
            <a:ext uri="{FF2B5EF4-FFF2-40B4-BE49-F238E27FC236}">
              <a16:creationId xmlns:a16="http://schemas.microsoft.com/office/drawing/2014/main" id="{C631E7DA-8DD1-D9E3-90E2-22BBCB30C85F}"/>
            </a:ext>
          </a:extLst>
        </xdr:cNvPr>
        <xdr:cNvCxnSpPr/>
      </xdr:nvCxnSpPr>
      <xdr:spPr>
        <a:xfrm>
          <a:off x="13525311852" y="9548518"/>
          <a:ext cx="428560" cy="4494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73837</xdr:colOff>
      <xdr:row>95</xdr:row>
      <xdr:rowOff>155058</xdr:rowOff>
    </xdr:from>
    <xdr:to>
      <xdr:col>8</xdr:col>
      <xdr:colOff>417180</xdr:colOff>
      <xdr:row>96</xdr:row>
      <xdr:rowOff>103372</xdr:rowOff>
    </xdr:to>
    <xdr:sp macro="" textlink="">
      <xdr:nvSpPr>
        <xdr:cNvPr id="9" name="Left Arrow 8">
          <a:extLst>
            <a:ext uri="{FF2B5EF4-FFF2-40B4-BE49-F238E27FC236}">
              <a16:creationId xmlns:a16="http://schemas.microsoft.com/office/drawing/2014/main" id="{CBB5F8F5-C9D9-7B44-192E-96844410FF89}"/>
            </a:ext>
          </a:extLst>
        </xdr:cNvPr>
        <xdr:cNvSpPr/>
      </xdr:nvSpPr>
      <xdr:spPr>
        <a:xfrm>
          <a:off x="13542153983" y="385430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88605</xdr:colOff>
      <xdr:row>99</xdr:row>
      <xdr:rowOff>7383</xdr:rowOff>
    </xdr:from>
    <xdr:to>
      <xdr:col>8</xdr:col>
      <xdr:colOff>431948</xdr:colOff>
      <xdr:row>99</xdr:row>
      <xdr:rowOff>158750</xdr:rowOff>
    </xdr:to>
    <xdr:sp macro="" textlink="">
      <xdr:nvSpPr>
        <xdr:cNvPr id="10" name="Left Arrow 9">
          <a:extLst>
            <a:ext uri="{FF2B5EF4-FFF2-40B4-BE49-F238E27FC236}">
              <a16:creationId xmlns:a16="http://schemas.microsoft.com/office/drawing/2014/main" id="{91FA2DFE-2041-7571-3450-E8AF10FEC146}"/>
            </a:ext>
          </a:extLst>
        </xdr:cNvPr>
        <xdr:cNvSpPr/>
      </xdr:nvSpPr>
      <xdr:spPr>
        <a:xfrm>
          <a:off x="13542139215" y="452991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98258</xdr:colOff>
      <xdr:row>198</xdr:row>
      <xdr:rowOff>174055</xdr:rowOff>
    </xdr:from>
    <xdr:ext cx="2806870" cy="484748"/>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474901304" y="4056959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474901304" y="4056959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819592</xdr:colOff>
      <xdr:row>205</xdr:row>
      <xdr:rowOff>81221</xdr:rowOff>
    </xdr:from>
    <xdr:ext cx="2806870" cy="48474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א</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_א</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oneCellAnchor>
    <xdr:from>
      <xdr:col>4</xdr:col>
      <xdr:colOff>11075</xdr:colOff>
      <xdr:row>208</xdr:row>
      <xdr:rowOff>132907</xdr:rowOff>
    </xdr:from>
    <xdr:ext cx="2806870" cy="48474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ב</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ב</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9</xdr:col>
      <xdr:colOff>502093</xdr:colOff>
      <xdr:row>252</xdr:row>
      <xdr:rowOff>55378</xdr:rowOff>
    </xdr:from>
    <xdr:to>
      <xdr:col>9</xdr:col>
      <xdr:colOff>505785</xdr:colOff>
      <xdr:row>255</xdr:row>
      <xdr:rowOff>95989</xdr:rowOff>
    </xdr:to>
    <xdr:cxnSp macro="">
      <xdr:nvCxnSpPr>
        <xdr:cNvPr id="15" name="Straight Arrow Connector 14">
          <a:extLst>
            <a:ext uri="{FF2B5EF4-FFF2-40B4-BE49-F238E27FC236}">
              <a16:creationId xmlns:a16="http://schemas.microsoft.com/office/drawing/2014/main" id="{DF48BCB2-E39A-6BA8-9A03-B00B73AC25DA}"/>
            </a:ext>
          </a:extLst>
        </xdr:cNvPr>
        <xdr:cNvCxnSpPr/>
      </xdr:nvCxnSpPr>
      <xdr:spPr>
        <a:xfrm flipH="1">
          <a:off x="13541238401" y="27973227"/>
          <a:ext cx="3692" cy="66084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820184</xdr:colOff>
      <xdr:row>245</xdr:row>
      <xdr:rowOff>120576</xdr:rowOff>
    </xdr:from>
    <xdr:ext cx="26354" cy="173766"/>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7</xdr:col>
      <xdr:colOff>550088</xdr:colOff>
      <xdr:row>258</xdr:row>
      <xdr:rowOff>13513</xdr:rowOff>
    </xdr:from>
    <xdr:ext cx="2810608" cy="17722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𝑟_(ℎ𝑎𝑧𝑖 𝑠ℎ𝑎𝑛𝑎)=(1+3%)^6−1=</a:t>
              </a:r>
              <a:endParaRPr lang="en-US" sz="1100"/>
            </a:p>
          </xdr:txBody>
        </xdr:sp>
      </mc:Fallback>
    </mc:AlternateContent>
    <xdr:clientData/>
  </xdr:oneCellAnchor>
  <xdr:oneCellAnchor>
    <xdr:from>
      <xdr:col>3</xdr:col>
      <xdr:colOff>564855</xdr:colOff>
      <xdr:row>260</xdr:row>
      <xdr:rowOff>199360</xdr:rowOff>
    </xdr:from>
    <xdr:ext cx="2806870" cy="48474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143984</xdr:colOff>
      <xdr:row>264</xdr:row>
      <xdr:rowOff>44302</xdr:rowOff>
    </xdr:from>
    <xdr:ext cx="4062103" cy="48628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=37.5∗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num>
                      <m:den>
                        <m:r>
                          <a:rPr lang="he-IL" sz="1100" b="0" i="1">
                            <a:latin typeface="Cambria Math" panose="02040503050406030204" pitchFamily="18" charset="0"/>
                          </a:rPr>
                          <m:t>19.4052%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37.5</a:t>
              </a:r>
              <a:r>
                <a:rPr lang="en-US" sz="1100" b="0" i="0">
                  <a:latin typeface="Cambria Math" panose="02040503050406030204" pitchFamily="18" charset="0"/>
                </a:rPr>
                <a:t>∗(1−1/(1+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0</xdr:col>
      <xdr:colOff>110756</xdr:colOff>
      <xdr:row>349</xdr:row>
      <xdr:rowOff>110755</xdr:rowOff>
    </xdr:from>
    <xdr:to>
      <xdr:col>7</xdr:col>
      <xdr:colOff>815902</xdr:colOff>
      <xdr:row>349</xdr:row>
      <xdr:rowOff>114447</xdr:rowOff>
    </xdr:to>
    <xdr:cxnSp macro="">
      <xdr:nvCxnSpPr>
        <xdr:cNvPr id="21" name="Straight Arrow Connector 20">
          <a:extLst>
            <a:ext uri="{FF2B5EF4-FFF2-40B4-BE49-F238E27FC236}">
              <a16:creationId xmlns:a16="http://schemas.microsoft.com/office/drawing/2014/main" id="{6D30E9EB-8700-B672-CE89-42C7E7087AF6}"/>
            </a:ext>
          </a:extLst>
        </xdr:cNvPr>
        <xdr:cNvCxnSpPr/>
      </xdr:nvCxnSpPr>
      <xdr:spPr>
        <a:xfrm>
          <a:off x="13542582238" y="34334302"/>
          <a:ext cx="6493983" cy="36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103373</xdr:colOff>
      <xdr:row>350</xdr:row>
      <xdr:rowOff>138443</xdr:rowOff>
    </xdr:from>
    <xdr:to>
      <xdr:col>6</xdr:col>
      <xdr:colOff>666381</xdr:colOff>
      <xdr:row>351</xdr:row>
      <xdr:rowOff>143982</xdr:rowOff>
    </xdr:to>
    <xdr:sp macro="" textlink="">
      <xdr:nvSpPr>
        <xdr:cNvPr id="24" name="Left Brace 23">
          <a:extLst>
            <a:ext uri="{FF2B5EF4-FFF2-40B4-BE49-F238E27FC236}">
              <a16:creationId xmlns:a16="http://schemas.microsoft.com/office/drawing/2014/main" id="{79072667-6C61-A4A9-09FA-0924BC4C7B38}"/>
            </a:ext>
          </a:extLst>
        </xdr:cNvPr>
        <xdr:cNvSpPr/>
      </xdr:nvSpPr>
      <xdr:spPr>
        <a:xfrm rot="16200000">
          <a:off x="13544976409" y="33147369"/>
          <a:ext cx="208591" cy="30439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2</xdr:col>
      <xdr:colOff>88311</xdr:colOff>
      <xdr:row>349</xdr:row>
      <xdr:rowOff>186132</xdr:rowOff>
    </xdr:from>
    <xdr:to>
      <xdr:col>2</xdr:col>
      <xdr:colOff>641252</xdr:colOff>
      <xdr:row>352</xdr:row>
      <xdr:rowOff>100169</xdr:rowOff>
    </xdr:to>
    <xdr:pic>
      <xdr:nvPicPr>
        <xdr:cNvPr id="26" name="Picture 25">
          <a:extLst>
            <a:ext uri="{FF2B5EF4-FFF2-40B4-BE49-F238E27FC236}">
              <a16:creationId xmlns:a16="http://schemas.microsoft.com/office/drawing/2014/main" id="{478C15C2-04E6-8AEF-FFFE-68AC431996AC}"/>
            </a:ext>
          </a:extLst>
        </xdr:cNvPr>
        <xdr:cNvPicPr>
          <a:picLocks noChangeAspect="1"/>
        </xdr:cNvPicPr>
      </xdr:nvPicPr>
      <xdr:blipFill>
        <a:blip xmlns:r="http://schemas.openxmlformats.org/officeDocument/2006/relationships" r:embed="rId1"/>
        <a:stretch>
          <a:fillRect/>
        </a:stretch>
      </xdr:blipFill>
      <xdr:spPr>
        <a:xfrm>
          <a:off x="13502095470" y="53879377"/>
          <a:ext cx="552941" cy="519600"/>
        </a:xfrm>
        <a:prstGeom prst="rect">
          <a:avLst/>
        </a:prstGeom>
      </xdr:spPr>
    </xdr:pic>
    <xdr:clientData/>
  </xdr:twoCellAnchor>
  <xdr:twoCellAnchor>
    <xdr:from>
      <xdr:col>0</xdr:col>
      <xdr:colOff>191975</xdr:colOff>
      <xdr:row>352</xdr:row>
      <xdr:rowOff>12921</xdr:rowOff>
    </xdr:from>
    <xdr:to>
      <xdr:col>1</xdr:col>
      <xdr:colOff>616538</xdr:colOff>
      <xdr:row>353</xdr:row>
      <xdr:rowOff>33226</xdr:rowOff>
    </xdr:to>
    <xdr:sp macro="" textlink="">
      <xdr:nvSpPr>
        <xdr:cNvPr id="27" name="Left Brace 26">
          <a:extLst>
            <a:ext uri="{FF2B5EF4-FFF2-40B4-BE49-F238E27FC236}">
              <a16:creationId xmlns:a16="http://schemas.microsoft.com/office/drawing/2014/main" id="{85E708FF-F28D-62F1-9FAB-0BEDD7991522}"/>
            </a:ext>
          </a:extLst>
        </xdr:cNvPr>
        <xdr:cNvSpPr/>
      </xdr:nvSpPr>
      <xdr:spPr>
        <a:xfrm rot="16200000">
          <a:off x="13548257553" y="34331533"/>
          <a:ext cx="223358"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812209</xdr:colOff>
      <xdr:row>353</xdr:row>
      <xdr:rowOff>14767</xdr:rowOff>
    </xdr:from>
    <xdr:to>
      <xdr:col>0</xdr:col>
      <xdr:colOff>819593</xdr:colOff>
      <xdr:row>358</xdr:row>
      <xdr:rowOff>140291</xdr:rowOff>
    </xdr:to>
    <xdr:cxnSp macro="">
      <xdr:nvCxnSpPr>
        <xdr:cNvPr id="29" name="Straight Arrow Connector 28">
          <a:extLst>
            <a:ext uri="{FF2B5EF4-FFF2-40B4-BE49-F238E27FC236}">
              <a16:creationId xmlns:a16="http://schemas.microsoft.com/office/drawing/2014/main" id="{5373772B-700E-E2CB-E5E9-A504C44742FF}"/>
            </a:ext>
          </a:extLst>
        </xdr:cNvPr>
        <xdr:cNvCxnSpPr/>
      </xdr:nvCxnSpPr>
      <xdr:spPr>
        <a:xfrm>
          <a:off x="13548367384" y="35253575"/>
          <a:ext cx="7384" cy="114078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40611</xdr:colOff>
      <xdr:row>360</xdr:row>
      <xdr:rowOff>164877</xdr:rowOff>
    </xdr:from>
    <xdr:ext cx="2005782" cy="253403"/>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𝑟_𝑟𝑖𝑣𝑜𝑛=(1+12.6825%)^(1/4)−1=</a:t>
              </a:r>
              <a:endParaRPr lang="en-US" sz="1100"/>
            </a:p>
          </xdr:txBody>
        </xdr:sp>
      </mc:Fallback>
    </mc:AlternateContent>
    <xdr:clientData/>
  </xdr:oneCellAnchor>
  <xdr:twoCellAnchor>
    <xdr:from>
      <xdr:col>0</xdr:col>
      <xdr:colOff>232585</xdr:colOff>
      <xdr:row>347</xdr:row>
      <xdr:rowOff>60916</xdr:rowOff>
    </xdr:from>
    <xdr:to>
      <xdr:col>1</xdr:col>
      <xdr:colOff>657148</xdr:colOff>
      <xdr:row>348</xdr:row>
      <xdr:rowOff>81220</xdr:rowOff>
    </xdr:to>
    <xdr:sp macro="" textlink="">
      <xdr:nvSpPr>
        <xdr:cNvPr id="31" name="Left Brace 30">
          <a:extLst>
            <a:ext uri="{FF2B5EF4-FFF2-40B4-BE49-F238E27FC236}">
              <a16:creationId xmlns:a16="http://schemas.microsoft.com/office/drawing/2014/main" id="{E70730EA-A3B6-0A63-CB21-AFEA73272372}"/>
            </a:ext>
          </a:extLst>
        </xdr:cNvPr>
        <xdr:cNvSpPr/>
      </xdr:nvSpPr>
      <xdr:spPr>
        <a:xfrm rot="5400000">
          <a:off x="13548216943" y="33567319"/>
          <a:ext cx="223357"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40610</xdr:colOff>
      <xdr:row>347</xdr:row>
      <xdr:rowOff>47994</xdr:rowOff>
    </xdr:from>
    <xdr:to>
      <xdr:col>3</xdr:col>
      <xdr:colOff>406105</xdr:colOff>
      <xdr:row>347</xdr:row>
      <xdr:rowOff>62762</xdr:rowOff>
    </xdr:to>
    <xdr:cxnSp macro="">
      <xdr:nvCxnSpPr>
        <xdr:cNvPr id="33" name="Straight Connector 32">
          <a:extLst>
            <a:ext uri="{FF2B5EF4-FFF2-40B4-BE49-F238E27FC236}">
              <a16:creationId xmlns:a16="http://schemas.microsoft.com/office/drawing/2014/main" id="{34E9A65A-7D8C-2413-7C7F-DC13A99D732D}"/>
            </a:ext>
          </a:extLst>
        </xdr:cNvPr>
        <xdr:cNvCxnSpPr/>
      </xdr:nvCxnSpPr>
      <xdr:spPr>
        <a:xfrm flipH="1" flipV="1">
          <a:off x="13546299942" y="34068488"/>
          <a:ext cx="2019448" cy="147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395030</xdr:colOff>
      <xdr:row>347</xdr:row>
      <xdr:rowOff>40611</xdr:rowOff>
    </xdr:from>
    <xdr:to>
      <xdr:col>3</xdr:col>
      <xdr:colOff>398721</xdr:colOff>
      <xdr:row>348</xdr:row>
      <xdr:rowOff>29534</xdr:rowOff>
    </xdr:to>
    <xdr:cxnSp macro="">
      <xdr:nvCxnSpPr>
        <xdr:cNvPr id="34" name="Straight Arrow Connector 33">
          <a:extLst>
            <a:ext uri="{FF2B5EF4-FFF2-40B4-BE49-F238E27FC236}">
              <a16:creationId xmlns:a16="http://schemas.microsoft.com/office/drawing/2014/main" id="{7BCDE219-2B21-36BC-52AC-79BA0A79D338}"/>
            </a:ext>
          </a:extLst>
        </xdr:cNvPr>
        <xdr:cNvCxnSpPr/>
      </xdr:nvCxnSpPr>
      <xdr:spPr>
        <a:xfrm>
          <a:off x="13546307326" y="34061105"/>
          <a:ext cx="3691" cy="19197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524245</xdr:colOff>
      <xdr:row>348</xdr:row>
      <xdr:rowOff>110755</xdr:rowOff>
    </xdr:from>
    <xdr:to>
      <xdr:col>3</xdr:col>
      <xdr:colOff>302733</xdr:colOff>
      <xdr:row>348</xdr:row>
      <xdr:rowOff>114448</xdr:rowOff>
    </xdr:to>
    <xdr:cxnSp macro="">
      <xdr:nvCxnSpPr>
        <xdr:cNvPr id="38" name="Straight Arrow Connector 37">
          <a:extLst>
            <a:ext uri="{FF2B5EF4-FFF2-40B4-BE49-F238E27FC236}">
              <a16:creationId xmlns:a16="http://schemas.microsoft.com/office/drawing/2014/main" id="{297DAF6E-663D-9E58-69CB-5D3D819F215D}"/>
            </a:ext>
          </a:extLst>
        </xdr:cNvPr>
        <xdr:cNvCxnSpPr/>
      </xdr:nvCxnSpPr>
      <xdr:spPr>
        <a:xfrm>
          <a:off x="13546403314" y="34537354"/>
          <a:ext cx="605465" cy="369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734680</xdr:colOff>
      <xdr:row>347</xdr:row>
      <xdr:rowOff>91041</xdr:rowOff>
    </xdr:from>
    <xdr:ext cx="1787962" cy="17684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m:t>
                            </m:r>
                          </m:e>
                        </m:d>
                      </m:e>
                      <m:sup>
                        <m:r>
                          <a:rPr lang="he-IL" sz="1100" b="0" i="1">
                            <a:latin typeface="Cambria Math" panose="02040503050406030204" pitchFamily="18" charset="0"/>
                          </a:rPr>
                          <m:t>1</m:t>
                        </m:r>
                      </m:sup>
                    </m:sSup>
                  </m:oMath>
                </m:oMathPara>
              </a14:m>
              <a:endParaRPr lang="en-US" sz="1100"/>
            </a:p>
          </xdr:txBody>
        </xdr:sp>
      </mc:Choice>
      <mc:Fallback xmlns="">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∗(1+1%)^1</a:t>
              </a:r>
              <a:endParaRPr lang="en-US" sz="1100"/>
            </a:p>
          </xdr:txBody>
        </xdr:sp>
      </mc:Fallback>
    </mc:AlternateContent>
    <xdr:clientData/>
  </xdr:oneCellAnchor>
  <xdr:oneCellAnchor>
    <xdr:from>
      <xdr:col>8</xdr:col>
      <xdr:colOff>7384</xdr:colOff>
      <xdr:row>365</xdr:row>
      <xdr:rowOff>183335</xdr:rowOff>
    </xdr:from>
    <xdr:ext cx="2005782" cy="25340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12</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a:t>
              </a:r>
              <a:r>
                <a:rPr lang="he-IL" sz="1100" b="0" i="0">
                  <a:latin typeface="Cambria Math" panose="02040503050406030204" pitchFamily="18" charset="0"/>
                </a:rPr>
                <a:t>12</a:t>
              </a:r>
              <a:r>
                <a:rPr lang="en-US" sz="1100" b="0" i="0">
                  <a:latin typeface="Cambria Math" panose="02040503050406030204" pitchFamily="18" charset="0"/>
                </a:rPr>
                <a:t>)−1=</a:t>
              </a:r>
              <a:endParaRPr lang="en-US" sz="1100"/>
            </a:p>
          </xdr:txBody>
        </xdr:sp>
      </mc:Fallback>
    </mc:AlternateContent>
    <xdr:clientData/>
  </xdr:oneCellAnchor>
  <xdr:oneCellAnchor>
    <xdr:from>
      <xdr:col>3</xdr:col>
      <xdr:colOff>376570</xdr:colOff>
      <xdr:row>367</xdr:row>
      <xdr:rowOff>183337</xdr:rowOff>
    </xdr:from>
    <xdr:ext cx="2098078" cy="173766"/>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𝑚𝑜𝑛𝑡h</m:t>
                            </m:r>
                          </m:sub>
                        </m:sSub>
                      </m:e>
                    </m:d>
                  </m:oMath>
                </m:oMathPara>
              </a14:m>
              <a:endParaRPr lang="en-US" sz="1100"/>
            </a:p>
          </xdr:txBody>
        </xdr:sp>
      </mc:Choice>
      <mc:Fallback xmlns="">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𝑃𝑉_25=𝑃𝑉_24∗(1+𝑟_𝑚𝑜𝑛𝑡ℎ )</a:t>
              </a:r>
              <a:endParaRPr lang="en-US" sz="1100"/>
            </a:p>
          </xdr:txBody>
        </xdr:sp>
      </mc:Fallback>
    </mc:AlternateContent>
    <xdr:clientData/>
  </xdr:oneCellAnchor>
  <xdr:oneCellAnchor>
    <xdr:from>
      <xdr:col>3</xdr:col>
      <xdr:colOff>372878</xdr:colOff>
      <xdr:row>369</xdr:row>
      <xdr:rowOff>28279</xdr:rowOff>
    </xdr:from>
    <xdr:ext cx="2098078" cy="173766"/>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=91.05∗</m:t>
                    </m:r>
                    <m:d>
                      <m:dPr>
                        <m:ctrlPr>
                          <a:rPr lang="en-US" sz="1100" b="0" i="1">
                            <a:latin typeface="Cambria Math" panose="02040503050406030204" pitchFamily="18" charset="0"/>
                          </a:rPr>
                        </m:ctrlPr>
                      </m:dPr>
                      <m:e>
                        <m:r>
                          <a:rPr lang="en-US" sz="1100" b="0" i="1">
                            <a:latin typeface="Cambria Math" panose="02040503050406030204" pitchFamily="18" charset="0"/>
                          </a:rPr>
                          <m:t>1+1%</m:t>
                        </m:r>
                      </m:e>
                    </m:d>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𝑃𝑉_25=91.05∗(1+1%)=</a:t>
              </a:r>
              <a:endParaRPr lang="en-US" sz="1100"/>
            </a:p>
          </xdr:txBody>
        </xdr:sp>
      </mc:Fallback>
    </mc:AlternateContent>
    <xdr:clientData/>
  </xdr:oneCellAnchor>
  <xdr:oneCellAnchor>
    <xdr:from>
      <xdr:col>3</xdr:col>
      <xdr:colOff>0</xdr:colOff>
      <xdr:row>376</xdr:row>
      <xdr:rowOff>0</xdr:rowOff>
    </xdr:from>
    <xdr:ext cx="2806870" cy="484748"/>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278357</xdr:colOff>
      <xdr:row>379</xdr:row>
      <xdr:rowOff>26097</xdr:rowOff>
    </xdr:from>
    <xdr:ext cx="4398719" cy="48667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2.5</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num>
                          <m:den>
                            <m:r>
                              <a:rPr lang="he-IL" sz="1100" b="0" i="1">
                                <a:latin typeface="Cambria Math" panose="02040503050406030204" pitchFamily="18" charset="0"/>
                              </a:rPr>
                              <m:t>3.0301%</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1+1%</m:t>
                        </m:r>
                      </m:e>
                    </m:d>
                    <m:r>
                      <a:rPr lang="he-IL" sz="1100" b="0" i="1">
                        <a:latin typeface="Cambria Math" panose="02040503050406030204" pitchFamily="18" charset="0"/>
                      </a:rPr>
                      <m:t>=</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2.5</a:t>
              </a:r>
              <a:r>
                <a:rPr lang="en-US" sz="1100" b="0" i="0">
                  <a:latin typeface="Cambria Math" panose="02040503050406030204" pitchFamily="18" charset="0"/>
                </a:rPr>
                <a:t>∗(1−1/(1+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∗(1+1%)=</a:t>
              </a:r>
              <a:endParaRPr lang="en-US" sz="1100"/>
            </a:p>
          </xdr:txBody>
        </xdr:sp>
      </mc:Fallback>
    </mc:AlternateContent>
    <xdr:clientData/>
  </xdr:oneCellAnchor>
  <xdr:twoCellAnchor>
    <xdr:from>
      <xdr:col>1</xdr:col>
      <xdr:colOff>24038</xdr:colOff>
      <xdr:row>17</xdr:row>
      <xdr:rowOff>136215</xdr:rowOff>
    </xdr:from>
    <xdr:to>
      <xdr:col>7</xdr:col>
      <xdr:colOff>436688</xdr:colOff>
      <xdr:row>17</xdr:row>
      <xdr:rowOff>152240</xdr:rowOff>
    </xdr:to>
    <xdr:cxnSp macro="">
      <xdr:nvCxnSpPr>
        <xdr:cNvPr id="8" name="Straight Arrow Connector 7">
          <a:extLst>
            <a:ext uri="{FF2B5EF4-FFF2-40B4-BE49-F238E27FC236}">
              <a16:creationId xmlns:a16="http://schemas.microsoft.com/office/drawing/2014/main" id="{7F6DC379-F09E-FF70-6D3C-F4A891B858CC}"/>
            </a:ext>
          </a:extLst>
        </xdr:cNvPr>
        <xdr:cNvCxnSpPr/>
      </xdr:nvCxnSpPr>
      <xdr:spPr>
        <a:xfrm>
          <a:off x="13515496246" y="3633723"/>
          <a:ext cx="5364448" cy="160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392619</xdr:colOff>
      <xdr:row>17</xdr:row>
      <xdr:rowOff>103040</xdr:rowOff>
    </xdr:from>
    <xdr:to>
      <xdr:col>5</xdr:col>
      <xdr:colOff>423548</xdr:colOff>
      <xdr:row>19</xdr:row>
      <xdr:rowOff>12019</xdr:rowOff>
    </xdr:to>
    <xdr:sp macro="" textlink="">
      <xdr:nvSpPr>
        <xdr:cNvPr id="14" name="Left Brace 13">
          <a:extLst>
            <a:ext uri="{FF2B5EF4-FFF2-40B4-BE49-F238E27FC236}">
              <a16:creationId xmlns:a16="http://schemas.microsoft.com/office/drawing/2014/main" id="{4C972509-8FA3-974A-390D-2E858DB898F1}"/>
            </a:ext>
          </a:extLst>
        </xdr:cNvPr>
        <xdr:cNvSpPr/>
      </xdr:nvSpPr>
      <xdr:spPr>
        <a:xfrm rot="16200000">
          <a:off x="13518667239" y="2093295"/>
          <a:ext cx="317622" cy="3332127"/>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224355</xdr:colOff>
      <xdr:row>19</xdr:row>
      <xdr:rowOff>81648</xdr:rowOff>
    </xdr:from>
    <xdr:ext cx="196893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=−2,000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𝑝𝑚𝑡=−2,000</a:t>
              </a:r>
              <a:endParaRPr lang="en-US" sz="1100"/>
            </a:p>
          </xdr:txBody>
        </xdr:sp>
      </mc:Fallback>
    </mc:AlternateContent>
    <xdr:clientData/>
  </xdr:oneCellAnchor>
  <xdr:oneCellAnchor>
    <xdr:from>
      <xdr:col>2</xdr:col>
      <xdr:colOff>224355</xdr:colOff>
      <xdr:row>20</xdr:row>
      <xdr:rowOff>85654</xdr:rowOff>
    </xdr:from>
    <xdr:ext cx="1968933"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2</xdr:col>
      <xdr:colOff>204243</xdr:colOff>
      <xdr:row>21</xdr:row>
      <xdr:rowOff>92985</xdr:rowOff>
    </xdr:from>
    <xdr:ext cx="196893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742950</xdr:colOff>
      <xdr:row>40</xdr:row>
      <xdr:rowOff>42861</xdr:rowOff>
    </xdr:from>
    <xdr:ext cx="3341055" cy="224549"/>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𝑚𝑜𝑛𝑡h</m:t>
                                </m:r>
                              </m:e>
                            </m:d>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 (𝑚𝑜𝑛𝑡ℎ))^12−1</a:t>
              </a:r>
              <a:endParaRPr lang="en-US" sz="1100"/>
            </a:p>
          </xdr:txBody>
        </xdr:sp>
      </mc:Fallback>
    </mc:AlternateContent>
    <xdr:clientData/>
  </xdr:oneCellAnchor>
  <xdr:oneCellAnchor>
    <xdr:from>
      <xdr:col>2</xdr:col>
      <xdr:colOff>809625</xdr:colOff>
      <xdr:row>42</xdr:row>
      <xdr:rowOff>26986</xdr:rowOff>
    </xdr:from>
    <xdr:ext cx="3341055" cy="17722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1+3.503%</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(𝑎𝑛𝑛𝑢𝑎𝑙)=(1+3.503%)^12−1=</a:t>
              </a:r>
              <a:endParaRPr lang="en-US" sz="1100"/>
            </a:p>
          </xdr:txBody>
        </xdr:sp>
      </mc:Fallback>
    </mc:AlternateContent>
    <xdr:clientData/>
  </xdr:oneCellAnchor>
  <xdr:oneCellAnchor>
    <xdr:from>
      <xdr:col>7</xdr:col>
      <xdr:colOff>737892</xdr:colOff>
      <xdr:row>34</xdr:row>
      <xdr:rowOff>52625</xdr:rowOff>
    </xdr:from>
    <xdr:ext cx="2225375" cy="390363"/>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18,000=</m:t>
                    </m:r>
                    <m:f>
                      <m:fPr>
                        <m:ctrlPr>
                          <a:rPr lang="en-US" sz="1100" b="0" i="1">
                            <a:latin typeface="Cambria Math" panose="02040503050406030204" pitchFamily="18" charset="0"/>
                          </a:rPr>
                        </m:ctrlPr>
                      </m:fPr>
                      <m:num>
                        <m:r>
                          <a:rPr lang="en-US" sz="1100" b="0" i="1">
                            <a:latin typeface="Cambria Math" panose="02040503050406030204" pitchFamily="18" charset="0"/>
                          </a:rPr>
                          <m:t>2,000</m:t>
                        </m:r>
                      </m:num>
                      <m:den>
                        <m:r>
                          <a:rPr lang="en-US" sz="1100" b="0" i="1">
                            <a:latin typeface="Cambria Math" panose="02040503050406030204" pitchFamily="18" charset="0"/>
                          </a:rPr>
                          <m:t>𝑟</m:t>
                        </m:r>
                      </m:den>
                    </m:f>
                    <m:r>
                      <a:rPr lang="en-US" sz="1100" b="0" i="1">
                        <a:latin typeface="Cambria Math" panose="02040503050406030204" pitchFamily="18" charset="0"/>
                      </a:rPr>
                      <m:t>∗1−</m:t>
                    </m:r>
                    <m:sSup>
                      <m:sSupPr>
                        <m:ctrlPr>
                          <a:rPr lang="en-US" sz="1100" b="0" i="1">
                            <a:latin typeface="Cambria Math" panose="02040503050406030204" pitchFamily="18" charset="0"/>
                          </a:rPr>
                        </m:ctrlPr>
                      </m:sSupPr>
                      <m:e>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11</m:t>
                                </m:r>
                              </m:sup>
                            </m:sSup>
                          </m:den>
                        </m:f>
                      </m:e>
                      <m:sup/>
                    </m:sSup>
                  </m:oMath>
                </m:oMathPara>
              </a14:m>
              <a:endParaRPr lang="en-US" sz="1100"/>
            </a:p>
          </xdr:txBody>
        </xdr:sp>
      </mc:Choice>
      <mc:Fallback xmlns="">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18,000=2,000/𝑟∗1−〖1/(1+𝑟)^11 〗^</a:t>
              </a:r>
              <a:endParaRPr lang="en-US" sz="1100"/>
            </a:p>
          </xdr:txBody>
        </xdr:sp>
      </mc:Fallback>
    </mc:AlternateContent>
    <xdr:clientData/>
  </xdr:oneCellAnchor>
  <xdr:twoCellAnchor>
    <xdr:from>
      <xdr:col>0</xdr:col>
      <xdr:colOff>0</xdr:colOff>
      <xdr:row>54</xdr:row>
      <xdr:rowOff>76200</xdr:rowOff>
    </xdr:from>
    <xdr:to>
      <xdr:col>7</xdr:col>
      <xdr:colOff>120650</xdr:colOff>
      <xdr:row>54</xdr:row>
      <xdr:rowOff>88900</xdr:rowOff>
    </xdr:to>
    <xdr:cxnSp macro="">
      <xdr:nvCxnSpPr>
        <xdr:cNvPr id="36" name="Straight Arrow Connector 35">
          <a:extLst>
            <a:ext uri="{FF2B5EF4-FFF2-40B4-BE49-F238E27FC236}">
              <a16:creationId xmlns:a16="http://schemas.microsoft.com/office/drawing/2014/main" id="{3A01DDEE-0A3A-29C2-2D47-6CACBD98EB80}"/>
            </a:ext>
          </a:extLst>
        </xdr:cNvPr>
        <xdr:cNvCxnSpPr/>
      </xdr:nvCxnSpPr>
      <xdr:spPr>
        <a:xfrm>
          <a:off x="13519092850" y="11099800"/>
          <a:ext cx="589915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390525</xdr:colOff>
      <xdr:row>54</xdr:row>
      <xdr:rowOff>19049</xdr:rowOff>
    </xdr:from>
    <xdr:to>
      <xdr:col>5</xdr:col>
      <xdr:colOff>425450</xdr:colOff>
      <xdr:row>55</xdr:row>
      <xdr:rowOff>73024</xdr:rowOff>
    </xdr:to>
    <xdr:sp macro="" textlink="">
      <xdr:nvSpPr>
        <xdr:cNvPr id="39" name="Left Brace 38">
          <a:extLst>
            <a:ext uri="{FF2B5EF4-FFF2-40B4-BE49-F238E27FC236}">
              <a16:creationId xmlns:a16="http://schemas.microsoft.com/office/drawing/2014/main" id="{80B4E13C-00F4-5881-DA9F-589346ADD956}"/>
            </a:ext>
          </a:extLst>
        </xdr:cNvPr>
        <xdr:cNvSpPr/>
      </xdr:nvSpPr>
      <xdr:spPr>
        <a:xfrm rot="16200000">
          <a:off x="13521153425" y="10328274"/>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511176</xdr:colOff>
      <xdr:row>56</xdr:row>
      <xdr:rowOff>20636</xdr:rowOff>
    </xdr:from>
    <xdr:ext cx="1490029"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=32,000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𝑃𝑀𝑇=32,000</a:t>
              </a:r>
              <a:endParaRPr lang="en-US" sz="1100"/>
            </a:p>
          </xdr:txBody>
        </xdr:sp>
      </mc:Fallback>
    </mc:AlternateContent>
    <xdr:clientData/>
  </xdr:oneCellAnchor>
  <xdr:oneCellAnchor>
    <xdr:from>
      <xdr:col>3</xdr:col>
      <xdr:colOff>511176</xdr:colOff>
      <xdr:row>57</xdr:row>
      <xdr:rowOff>49211</xdr:rowOff>
    </xdr:from>
    <xdr:ext cx="1490029" cy="173766"/>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𝑛=15</a:t>
              </a:r>
              <a:endParaRPr lang="en-US" sz="1100"/>
            </a:p>
          </xdr:txBody>
        </xdr:sp>
      </mc:Fallback>
    </mc:AlternateContent>
    <xdr:clientData/>
  </xdr:oneCellAnchor>
  <xdr:oneCellAnchor>
    <xdr:from>
      <xdr:col>3</xdr:col>
      <xdr:colOff>495301</xdr:colOff>
      <xdr:row>58</xdr:row>
      <xdr:rowOff>55561</xdr:rowOff>
    </xdr:from>
    <xdr:ext cx="1490029"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0</xdr:col>
      <xdr:colOff>406400</xdr:colOff>
      <xdr:row>54</xdr:row>
      <xdr:rowOff>22224</xdr:rowOff>
    </xdr:from>
    <xdr:to>
      <xdr:col>2</xdr:col>
      <xdr:colOff>441325</xdr:colOff>
      <xdr:row>55</xdr:row>
      <xdr:rowOff>76199</xdr:rowOff>
    </xdr:to>
    <xdr:sp macro="" textlink="">
      <xdr:nvSpPr>
        <xdr:cNvPr id="49" name="Left Brace 48">
          <a:extLst>
            <a:ext uri="{FF2B5EF4-FFF2-40B4-BE49-F238E27FC236}">
              <a16:creationId xmlns:a16="http://schemas.microsoft.com/office/drawing/2014/main" id="{5D5FC641-7171-1940-F048-9A8B59B48B89}"/>
            </a:ext>
          </a:extLst>
        </xdr:cNvPr>
        <xdr:cNvSpPr/>
      </xdr:nvSpPr>
      <xdr:spPr>
        <a:xfrm rot="16200000">
          <a:off x="13523614050" y="10331449"/>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593726</xdr:colOff>
      <xdr:row>56</xdr:row>
      <xdr:rowOff>7936</xdr:rowOff>
    </xdr:from>
    <xdr:ext cx="1490029"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=23,000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𝑃𝑀𝑇=23,000</a:t>
              </a:r>
              <a:endParaRPr lang="en-US" sz="1100"/>
            </a:p>
          </xdr:txBody>
        </xdr:sp>
      </mc:Fallback>
    </mc:AlternateContent>
    <xdr:clientData/>
  </xdr:oneCellAnchor>
  <xdr:oneCellAnchor>
    <xdr:from>
      <xdr:col>0</xdr:col>
      <xdr:colOff>536576</xdr:colOff>
      <xdr:row>57</xdr:row>
      <xdr:rowOff>20636</xdr:rowOff>
    </xdr:from>
    <xdr:ext cx="1490029" cy="1737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=999</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𝑛=999</a:t>
              </a:r>
              <a:endParaRPr lang="en-US" sz="1100"/>
            </a:p>
          </xdr:txBody>
        </xdr:sp>
      </mc:Fallback>
    </mc:AlternateContent>
    <xdr:clientData/>
  </xdr:oneCellAnchor>
  <xdr:oneCellAnchor>
    <xdr:from>
      <xdr:col>0</xdr:col>
      <xdr:colOff>561976</xdr:colOff>
      <xdr:row>58</xdr:row>
      <xdr:rowOff>30161</xdr:rowOff>
    </xdr:from>
    <xdr:ext cx="149002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1</xdr:col>
      <xdr:colOff>207934</xdr:colOff>
      <xdr:row>59</xdr:row>
      <xdr:rowOff>70378</xdr:rowOff>
    </xdr:from>
    <xdr:to>
      <xdr:col>1</xdr:col>
      <xdr:colOff>591814</xdr:colOff>
      <xdr:row>60</xdr:row>
      <xdr:rowOff>163148</xdr:rowOff>
    </xdr:to>
    <xdr:sp macro="" textlink="">
      <xdr:nvSpPr>
        <xdr:cNvPr id="53" name="Rounded Rectangle 52">
          <a:extLst>
            <a:ext uri="{FF2B5EF4-FFF2-40B4-BE49-F238E27FC236}">
              <a16:creationId xmlns:a16="http://schemas.microsoft.com/office/drawing/2014/main" id="{D1B0C4F9-DF5B-6FC6-8FAF-BA03F695E362}"/>
            </a:ext>
          </a:extLst>
        </xdr:cNvPr>
        <xdr:cNvSpPr/>
      </xdr:nvSpPr>
      <xdr:spPr>
        <a:xfrm>
          <a:off x="13520954231" y="12188161"/>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א</a:t>
          </a:r>
          <a:endParaRPr lang="en-US" sz="1100"/>
        </a:p>
      </xdr:txBody>
    </xdr:sp>
    <xdr:clientData/>
  </xdr:twoCellAnchor>
  <xdr:twoCellAnchor>
    <xdr:from>
      <xdr:col>4</xdr:col>
      <xdr:colOff>188740</xdr:colOff>
      <xdr:row>59</xdr:row>
      <xdr:rowOff>147154</xdr:rowOff>
    </xdr:from>
    <xdr:to>
      <xdr:col>4</xdr:col>
      <xdr:colOff>572620</xdr:colOff>
      <xdr:row>61</xdr:row>
      <xdr:rowOff>35189</xdr:rowOff>
    </xdr:to>
    <xdr:sp macro="" textlink="">
      <xdr:nvSpPr>
        <xdr:cNvPr id="54" name="Rounded Rectangle 53">
          <a:extLst>
            <a:ext uri="{FF2B5EF4-FFF2-40B4-BE49-F238E27FC236}">
              <a16:creationId xmlns:a16="http://schemas.microsoft.com/office/drawing/2014/main" id="{BEEA60E0-6445-FBC1-3FE8-10A583AB819D}"/>
            </a:ext>
          </a:extLst>
        </xdr:cNvPr>
        <xdr:cNvSpPr/>
      </xdr:nvSpPr>
      <xdr:spPr>
        <a:xfrm>
          <a:off x="13518497405" y="12264937"/>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a:t>
          </a:r>
          <a:endParaRPr lang="en-US" sz="1100"/>
        </a:p>
      </xdr:txBody>
    </xdr:sp>
    <xdr:clientData/>
  </xdr:twoCellAnchor>
  <xdr:twoCellAnchor>
    <xdr:from>
      <xdr:col>2</xdr:col>
      <xdr:colOff>403073</xdr:colOff>
      <xdr:row>54</xdr:row>
      <xdr:rowOff>198337</xdr:rowOff>
    </xdr:from>
    <xdr:to>
      <xdr:col>2</xdr:col>
      <xdr:colOff>422267</xdr:colOff>
      <xdr:row>61</xdr:row>
      <xdr:rowOff>172746</xdr:rowOff>
    </xdr:to>
    <xdr:cxnSp macro="">
      <xdr:nvCxnSpPr>
        <xdr:cNvPr id="56" name="Straight Connector 55">
          <a:extLst>
            <a:ext uri="{FF2B5EF4-FFF2-40B4-BE49-F238E27FC236}">
              <a16:creationId xmlns:a16="http://schemas.microsoft.com/office/drawing/2014/main" id="{70F8DE7E-7A4F-F3E1-ABDC-8CEE70C9F939}"/>
            </a:ext>
          </a:extLst>
        </xdr:cNvPr>
        <xdr:cNvCxnSpPr/>
      </xdr:nvCxnSpPr>
      <xdr:spPr>
        <a:xfrm>
          <a:off x="13520298438" y="11292443"/>
          <a:ext cx="19194" cy="14075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374282</xdr:colOff>
      <xdr:row>56</xdr:row>
      <xdr:rowOff>67179</xdr:rowOff>
    </xdr:from>
    <xdr:to>
      <xdr:col>3</xdr:col>
      <xdr:colOff>374282</xdr:colOff>
      <xdr:row>61</xdr:row>
      <xdr:rowOff>166348</xdr:rowOff>
    </xdr:to>
    <xdr:cxnSp macro="">
      <xdr:nvCxnSpPr>
        <xdr:cNvPr id="57" name="Straight Connector 56">
          <a:extLst>
            <a:ext uri="{FF2B5EF4-FFF2-40B4-BE49-F238E27FC236}">
              <a16:creationId xmlns:a16="http://schemas.microsoft.com/office/drawing/2014/main" id="{0CB5593D-168D-5E4A-ED01-49E799D95A1B}"/>
            </a:ext>
          </a:extLst>
        </xdr:cNvPr>
        <xdr:cNvCxnSpPr/>
      </xdr:nvCxnSpPr>
      <xdr:spPr>
        <a:xfrm>
          <a:off x="13519521083" y="11570756"/>
          <a:ext cx="0" cy="1122846"/>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403073</xdr:colOff>
      <xdr:row>61</xdr:row>
      <xdr:rowOff>163149</xdr:rowOff>
    </xdr:from>
    <xdr:to>
      <xdr:col>3</xdr:col>
      <xdr:colOff>380680</xdr:colOff>
      <xdr:row>61</xdr:row>
      <xdr:rowOff>166348</xdr:rowOff>
    </xdr:to>
    <xdr:cxnSp macro="">
      <xdr:nvCxnSpPr>
        <xdr:cNvPr id="58" name="Straight Connector 57">
          <a:extLst>
            <a:ext uri="{FF2B5EF4-FFF2-40B4-BE49-F238E27FC236}">
              <a16:creationId xmlns:a16="http://schemas.microsoft.com/office/drawing/2014/main" id="{FED3EAF2-1B2A-D881-DD60-17F8B9215DFE}"/>
            </a:ext>
          </a:extLst>
        </xdr:cNvPr>
        <xdr:cNvCxnSpPr/>
      </xdr:nvCxnSpPr>
      <xdr:spPr>
        <a:xfrm flipH="1">
          <a:off x="13519514685" y="12690403"/>
          <a:ext cx="802947" cy="31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387078</xdr:colOff>
      <xdr:row>55</xdr:row>
      <xdr:rowOff>25591</xdr:rowOff>
    </xdr:from>
    <xdr:to>
      <xdr:col>5</xdr:col>
      <xdr:colOff>387078</xdr:colOff>
      <xdr:row>56</xdr:row>
      <xdr:rowOff>179143</xdr:rowOff>
    </xdr:to>
    <xdr:cxnSp macro="">
      <xdr:nvCxnSpPr>
        <xdr:cNvPr id="62" name="Straight Connector 61">
          <a:extLst>
            <a:ext uri="{FF2B5EF4-FFF2-40B4-BE49-F238E27FC236}">
              <a16:creationId xmlns:a16="http://schemas.microsoft.com/office/drawing/2014/main" id="{036FF864-EAF3-61CA-A24E-F6F9875202A7}"/>
            </a:ext>
          </a:extLst>
        </xdr:cNvPr>
        <xdr:cNvCxnSpPr/>
      </xdr:nvCxnSpPr>
      <xdr:spPr>
        <a:xfrm>
          <a:off x="13517857607" y="11324432"/>
          <a:ext cx="0" cy="3582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3199</xdr:colOff>
      <xdr:row>54</xdr:row>
      <xdr:rowOff>70378</xdr:rowOff>
    </xdr:from>
    <xdr:to>
      <xdr:col>6</xdr:col>
      <xdr:colOff>255919</xdr:colOff>
      <xdr:row>56</xdr:row>
      <xdr:rowOff>156750</xdr:rowOff>
    </xdr:to>
    <xdr:cxnSp macro="">
      <xdr:nvCxnSpPr>
        <xdr:cNvPr id="63" name="Straight Connector 62">
          <a:extLst>
            <a:ext uri="{FF2B5EF4-FFF2-40B4-BE49-F238E27FC236}">
              <a16:creationId xmlns:a16="http://schemas.microsoft.com/office/drawing/2014/main" id="{98DED675-12D2-6D9D-025D-4914637C789D}"/>
            </a:ext>
          </a:extLst>
        </xdr:cNvPr>
        <xdr:cNvCxnSpPr/>
      </xdr:nvCxnSpPr>
      <xdr:spPr>
        <a:xfrm>
          <a:off x="13517163426" y="11164484"/>
          <a:ext cx="252720" cy="49584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390277</xdr:colOff>
      <xdr:row>56</xdr:row>
      <xdr:rowOff>169546</xdr:rowOff>
    </xdr:from>
    <xdr:to>
      <xdr:col>6</xdr:col>
      <xdr:colOff>15995</xdr:colOff>
      <xdr:row>56</xdr:row>
      <xdr:rowOff>175944</xdr:rowOff>
    </xdr:to>
    <xdr:cxnSp macro="">
      <xdr:nvCxnSpPr>
        <xdr:cNvPr id="67" name="Straight Connector 66">
          <a:extLst>
            <a:ext uri="{FF2B5EF4-FFF2-40B4-BE49-F238E27FC236}">
              <a16:creationId xmlns:a16="http://schemas.microsoft.com/office/drawing/2014/main" id="{ECC194A8-8F92-9747-4F7C-E392F0EA290A}"/>
            </a:ext>
          </a:extLst>
        </xdr:cNvPr>
        <xdr:cNvCxnSpPr/>
      </xdr:nvCxnSpPr>
      <xdr:spPr>
        <a:xfrm flipH="1" flipV="1">
          <a:off x="13517403350" y="11673123"/>
          <a:ext cx="451058" cy="639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652639</xdr:colOff>
      <xdr:row>68</xdr:row>
      <xdr:rowOff>130528</xdr:rowOff>
    </xdr:from>
    <xdr:to>
      <xdr:col>4</xdr:col>
      <xdr:colOff>91722</xdr:colOff>
      <xdr:row>70</xdr:row>
      <xdr:rowOff>17639</xdr:rowOff>
    </xdr:to>
    <xdr:cxnSp macro="">
      <xdr:nvCxnSpPr>
        <xdr:cNvPr id="73" name="Straight Arrow Connector 72">
          <a:extLst>
            <a:ext uri="{FF2B5EF4-FFF2-40B4-BE49-F238E27FC236}">
              <a16:creationId xmlns:a16="http://schemas.microsoft.com/office/drawing/2014/main" id="{D81FE088-30FC-13F5-63C4-2F7D1B6F10FF}"/>
            </a:ext>
          </a:extLst>
        </xdr:cNvPr>
        <xdr:cNvCxnSpPr/>
      </xdr:nvCxnSpPr>
      <xdr:spPr>
        <a:xfrm>
          <a:off x="13521661778" y="14086417"/>
          <a:ext cx="264583" cy="29633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249100</xdr:colOff>
      <xdr:row>73</xdr:row>
      <xdr:rowOff>71625</xdr:rowOff>
    </xdr:from>
    <xdr:ext cx="3795682" cy="341953"/>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32,000</m:t>
                        </m:r>
                      </m:num>
                      <m:den>
                        <m:r>
                          <a:rPr lang="he-IL" sz="1100" b="0" i="1">
                            <a:latin typeface="Cambria Math" panose="02040503050406030204" pitchFamily="18" charset="0"/>
                          </a:rPr>
                          <m:t>8%</m:t>
                        </m:r>
                      </m:den>
                    </m:f>
                    <m:r>
                      <a:rPr lang="he-IL"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8%</m:t>
                                    </m:r>
                                  </m:e>
                                </m:d>
                              </m:e>
                              <m:sup>
                                <m:r>
                                  <a:rPr lang="en-US" sz="1100" b="0" i="1">
                                    <a:latin typeface="Cambria Math" panose="02040503050406030204" pitchFamily="18" charset="0"/>
                                  </a:rPr>
                                  <m:t>15</m:t>
                                </m:r>
                              </m:sup>
                            </m:sSup>
                          </m:den>
                        </m:f>
                      </m:e>
                    </m:d>
                    <m:r>
                      <a:rPr lang="en-US" sz="1100" b="0" i="0">
                        <a:latin typeface="Cambria Math" panose="02040503050406030204" pitchFamily="18" charset="0"/>
                      </a:rPr>
                      <m:t>=</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סופית סדרה)=32,000/(8%)∗</a:t>
              </a:r>
              <a:r>
                <a:rPr lang="en-US" sz="1100" b="0" i="0">
                  <a:latin typeface="Cambria Math" panose="02040503050406030204" pitchFamily="18" charset="0"/>
                </a:rPr>
                <a:t>[</a:t>
              </a:r>
              <a:r>
                <a:rPr lang="he-IL" sz="1100" b="0" i="0">
                  <a:latin typeface="Cambria Math" panose="02040503050406030204" pitchFamily="18" charset="0"/>
                </a:rPr>
                <a:t>1−1/(1+</a:t>
              </a:r>
              <a:r>
                <a:rPr lang="en-US" sz="1100" b="0" i="0">
                  <a:latin typeface="Cambria Math" panose="02040503050406030204" pitchFamily="18" charset="0"/>
                </a:rPr>
                <a:t>8%)^15</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oneCellAnchor>
    <xdr:from>
      <xdr:col>3</xdr:col>
      <xdr:colOff>249100</xdr:colOff>
      <xdr:row>75</xdr:row>
      <xdr:rowOff>87960</xdr:rowOff>
    </xdr:from>
    <xdr:ext cx="2705362" cy="465320"/>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אינסופית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23,000</m:t>
                            </m:r>
                          </m:num>
                          <m:den>
                            <m:r>
                              <a:rPr lang="en-US" sz="1100" b="0" i="1">
                                <a:latin typeface="Cambria Math" panose="02040503050406030204" pitchFamily="18" charset="0"/>
                              </a:rPr>
                              <m:t>8%</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15</m:t>
                            </m:r>
                          </m:sup>
                        </m:sSup>
                      </m:den>
                    </m:f>
                    <m:r>
                      <a:rPr lang="en-US"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אינסופית סדרה)=</a:t>
              </a:r>
              <a:r>
                <a:rPr lang="en-US" sz="1100" b="0" i="0">
                  <a:latin typeface="Cambria Math" panose="02040503050406030204" pitchFamily="18" charset="0"/>
                </a:rPr>
                <a:t>(23,000/(8%))/(1+8%)^15 =</a:t>
              </a:r>
              <a:endParaRPr lang="en-US" sz="1100"/>
            </a:p>
          </xdr:txBody>
        </xdr:sp>
      </mc:Fallback>
    </mc:AlternateContent>
    <xdr:clientData/>
  </xdr:oneCellAnchor>
  <xdr:twoCellAnchor>
    <xdr:from>
      <xdr:col>0</xdr:col>
      <xdr:colOff>169121</xdr:colOff>
      <xdr:row>226</xdr:row>
      <xdr:rowOff>105302</xdr:rowOff>
    </xdr:from>
    <xdr:to>
      <xdr:col>7</xdr:col>
      <xdr:colOff>695629</xdr:colOff>
      <xdr:row>226</xdr:row>
      <xdr:rowOff>111684</xdr:rowOff>
    </xdr:to>
    <xdr:cxnSp macro="">
      <xdr:nvCxnSpPr>
        <xdr:cNvPr id="77" name="Straight Arrow Connector 76">
          <a:extLst>
            <a:ext uri="{FF2B5EF4-FFF2-40B4-BE49-F238E27FC236}">
              <a16:creationId xmlns:a16="http://schemas.microsoft.com/office/drawing/2014/main" id="{22FF5ED1-E3B8-A45E-0E41-58FEBB63CD10}"/>
            </a:ext>
          </a:extLst>
        </xdr:cNvPr>
        <xdr:cNvCxnSpPr/>
      </xdr:nvCxnSpPr>
      <xdr:spPr>
        <a:xfrm flipV="1">
          <a:off x="13534195351" y="43783091"/>
          <a:ext cx="6375528" cy="63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236131</xdr:colOff>
      <xdr:row>228</xdr:row>
      <xdr:rowOff>170714</xdr:rowOff>
    </xdr:from>
    <xdr:to>
      <xdr:col>2</xdr:col>
      <xdr:colOff>569585</xdr:colOff>
      <xdr:row>229</xdr:row>
      <xdr:rowOff>156356</xdr:rowOff>
    </xdr:to>
    <xdr:sp macro="" textlink="">
      <xdr:nvSpPr>
        <xdr:cNvPr id="81" name="Left Brace 80">
          <a:extLst>
            <a:ext uri="{FF2B5EF4-FFF2-40B4-BE49-F238E27FC236}">
              <a16:creationId xmlns:a16="http://schemas.microsoft.com/office/drawing/2014/main" id="{9B4A9747-2F05-82E7-B978-2BBFCE8C7B2B}"/>
            </a:ext>
          </a:extLst>
        </xdr:cNvPr>
        <xdr:cNvSpPr/>
      </xdr:nvSpPr>
      <xdr:spPr>
        <a:xfrm rot="16200000">
          <a:off x="13539415753" y="43358692"/>
          <a:ext cx="189863" cy="1986369"/>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504172</xdr:colOff>
      <xdr:row>230</xdr:row>
      <xdr:rowOff>3892</xdr:rowOff>
    </xdr:from>
    <xdr:ext cx="1512445" cy="173766"/>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=37.5</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𝑃𝑀𝑇=37.5</a:t>
              </a:r>
              <a:endParaRPr lang="en-US" sz="1100"/>
            </a:p>
          </xdr:txBody>
        </xdr:sp>
      </mc:Fallback>
    </mc:AlternateContent>
    <xdr:clientData/>
  </xdr:oneCellAnchor>
  <xdr:oneCellAnchor>
    <xdr:from>
      <xdr:col>0</xdr:col>
      <xdr:colOff>294087</xdr:colOff>
      <xdr:row>231</xdr:row>
      <xdr:rowOff>23665</xdr:rowOff>
    </xdr:from>
    <xdr:ext cx="1512445" cy="173766"/>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14358425" y="46796571"/>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=18−4=14</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14358425" y="46796571"/>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a:t>
              </a:r>
              <a:r>
                <a:rPr lang="he-IL" sz="1100" b="0" i="0">
                  <a:latin typeface="Cambria Math" panose="02040503050406030204" pitchFamily="18" charset="0"/>
                </a:rPr>
                <a:t>18−4=</a:t>
              </a:r>
              <a:r>
                <a:rPr lang="en-US" sz="1100" b="0" i="0">
                  <a:latin typeface="Cambria Math" panose="02040503050406030204" pitchFamily="18" charset="0"/>
                </a:rPr>
                <a:t>14</a:t>
              </a:r>
              <a:endParaRPr lang="en-US" sz="1100"/>
            </a:p>
          </xdr:txBody>
        </xdr:sp>
      </mc:Fallback>
    </mc:AlternateContent>
    <xdr:clientData/>
  </xdr:oneCellAnchor>
  <xdr:oneCellAnchor>
    <xdr:from>
      <xdr:col>1</xdr:col>
      <xdr:colOff>6757</xdr:colOff>
      <xdr:row>232</xdr:row>
      <xdr:rowOff>57417</xdr:rowOff>
    </xdr:from>
    <xdr:ext cx="2850743" cy="177228"/>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512482500" y="47031135"/>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sSub>
                      <m:sSubPr>
                        <m:ctrlPr>
                          <a:rPr lang="en-US" sz="1100" b="0" i="1">
                            <a:latin typeface="Cambria Math" panose="02040503050406030204" pitchFamily="18" charset="0"/>
                          </a:rPr>
                        </m:ctrlPr>
                      </m:sSubPr>
                      <m:e>
                        <m:r>
                          <a:rPr lang="en-US" sz="1100" b="0" i="1">
                            <a:latin typeface="Cambria Math" panose="02040503050406030204" pitchFamily="18" charset="0"/>
                          </a:rPr>
                          <m:t>%</m:t>
                        </m:r>
                      </m:e>
                      <m:sub>
                        <m:r>
                          <a:rPr lang="en-US" sz="1100" b="0" i="1">
                            <a:latin typeface="Cambria Math" panose="02040503050406030204" pitchFamily="18" charset="0"/>
                          </a:rPr>
                          <m:t>𝐻𝑎𝑧𝑖𝑆h𝑎𝑛𝑎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−1=19.405%</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512482500" y="47031135"/>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𝐼%_𝐻𝑎𝑧𝑖𝑆ℎ𝑎𝑛𝑎=(1+3%)^6−1=19.405%</a:t>
              </a:r>
              <a:endParaRPr lang="en-US" sz="1100"/>
            </a:p>
          </xdr:txBody>
        </xdr:sp>
      </mc:Fallback>
    </mc:AlternateContent>
    <xdr:clientData/>
  </xdr:oneCellAnchor>
  <xdr:twoCellAnchor>
    <xdr:from>
      <xdr:col>3</xdr:col>
      <xdr:colOff>726197</xdr:colOff>
      <xdr:row>233</xdr:row>
      <xdr:rowOff>131729</xdr:rowOff>
    </xdr:from>
    <xdr:to>
      <xdr:col>3</xdr:col>
      <xdr:colOff>732952</xdr:colOff>
      <xdr:row>234</xdr:row>
      <xdr:rowOff>128351</xdr:rowOff>
    </xdr:to>
    <xdr:cxnSp macro="">
      <xdr:nvCxnSpPr>
        <xdr:cNvPr id="86" name="Straight Arrow Connector 85">
          <a:extLst>
            <a:ext uri="{FF2B5EF4-FFF2-40B4-BE49-F238E27FC236}">
              <a16:creationId xmlns:a16="http://schemas.microsoft.com/office/drawing/2014/main" id="{7536A100-77B9-B52C-187A-324FAA035E8E}"/>
            </a:ext>
          </a:extLst>
        </xdr:cNvPr>
        <xdr:cNvCxnSpPr/>
      </xdr:nvCxnSpPr>
      <xdr:spPr>
        <a:xfrm flipH="1">
          <a:off x="13499714947" y="44905984"/>
          <a:ext cx="6755" cy="1992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520160</xdr:colOff>
      <xdr:row>233</xdr:row>
      <xdr:rowOff>81064</xdr:rowOff>
    </xdr:from>
    <xdr:to>
      <xdr:col>2</xdr:col>
      <xdr:colOff>523537</xdr:colOff>
      <xdr:row>237</xdr:row>
      <xdr:rowOff>0</xdr:rowOff>
    </xdr:to>
    <xdr:cxnSp macro="">
      <xdr:nvCxnSpPr>
        <xdr:cNvPr id="87" name="Straight Arrow Connector 86">
          <a:extLst>
            <a:ext uri="{FF2B5EF4-FFF2-40B4-BE49-F238E27FC236}">
              <a16:creationId xmlns:a16="http://schemas.microsoft.com/office/drawing/2014/main" id="{C774394B-9994-FEEC-4051-BBB7DBE2FA35}"/>
            </a:ext>
          </a:extLst>
        </xdr:cNvPr>
        <xdr:cNvCxnSpPr/>
      </xdr:nvCxnSpPr>
      <xdr:spPr>
        <a:xfrm flipH="1">
          <a:off x="13500748511" y="44855319"/>
          <a:ext cx="3377" cy="7295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327633</xdr:colOff>
      <xdr:row>232</xdr:row>
      <xdr:rowOff>202659</xdr:rowOff>
    </xdr:from>
    <xdr:to>
      <xdr:col>2</xdr:col>
      <xdr:colOff>354655</xdr:colOff>
      <xdr:row>235</xdr:row>
      <xdr:rowOff>131729</xdr:rowOff>
    </xdr:to>
    <xdr:cxnSp macro="">
      <xdr:nvCxnSpPr>
        <xdr:cNvPr id="89" name="Straight Arrow Connector 88">
          <a:extLst>
            <a:ext uri="{FF2B5EF4-FFF2-40B4-BE49-F238E27FC236}">
              <a16:creationId xmlns:a16="http://schemas.microsoft.com/office/drawing/2014/main" id="{0A1E772E-D2A6-81AF-7C08-BC0749E08AFE}"/>
            </a:ext>
          </a:extLst>
        </xdr:cNvPr>
        <xdr:cNvCxnSpPr/>
      </xdr:nvCxnSpPr>
      <xdr:spPr>
        <a:xfrm>
          <a:off x="13500917393" y="44774255"/>
          <a:ext cx="851171" cy="5370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3</xdr:col>
      <xdr:colOff>222882</xdr:colOff>
      <xdr:row>222</xdr:row>
      <xdr:rowOff>46259</xdr:rowOff>
    </xdr:from>
    <xdr:to>
      <xdr:col>4</xdr:col>
      <xdr:colOff>9084</xdr:colOff>
      <xdr:row>225</xdr:row>
      <xdr:rowOff>34855</xdr:rowOff>
    </xdr:to>
    <xdr:pic>
      <xdr:nvPicPr>
        <xdr:cNvPr id="91" name="Picture 90">
          <a:extLst>
            <a:ext uri="{FF2B5EF4-FFF2-40B4-BE49-F238E27FC236}">
              <a16:creationId xmlns:a16="http://schemas.microsoft.com/office/drawing/2014/main" id="{B4C9FEC7-6FE3-A3D3-02A8-53923CCCF6AE}"/>
            </a:ext>
          </a:extLst>
        </xdr:cNvPr>
        <xdr:cNvPicPr>
          <a:picLocks noChangeAspect="1"/>
        </xdr:cNvPicPr>
      </xdr:nvPicPr>
      <xdr:blipFill>
        <a:blip xmlns:r="http://schemas.openxmlformats.org/officeDocument/2006/relationships" r:embed="rId2"/>
        <a:stretch>
          <a:fillRect/>
        </a:stretch>
      </xdr:blipFill>
      <xdr:spPr>
        <a:xfrm>
          <a:off x="13501079161" y="42410431"/>
          <a:ext cx="610441" cy="610441"/>
        </a:xfrm>
        <a:prstGeom prst="rect">
          <a:avLst/>
        </a:prstGeom>
      </xdr:spPr>
    </xdr:pic>
    <xdr:clientData/>
  </xdr:twoCellAnchor>
  <xdr:twoCellAnchor>
    <xdr:from>
      <xdr:col>1</xdr:col>
      <xdr:colOff>622386</xdr:colOff>
      <xdr:row>223</xdr:row>
      <xdr:rowOff>126159</xdr:rowOff>
    </xdr:from>
    <xdr:to>
      <xdr:col>3</xdr:col>
      <xdr:colOff>155598</xdr:colOff>
      <xdr:row>224</xdr:row>
      <xdr:rowOff>185033</xdr:rowOff>
    </xdr:to>
    <xdr:sp macro="" textlink="">
      <xdr:nvSpPr>
        <xdr:cNvPr id="92" name="Freeform 91">
          <a:extLst>
            <a:ext uri="{FF2B5EF4-FFF2-40B4-BE49-F238E27FC236}">
              <a16:creationId xmlns:a16="http://schemas.microsoft.com/office/drawing/2014/main" id="{A03D5EF4-1243-6EA6-BC5C-06EF36F91654}"/>
            </a:ext>
          </a:extLst>
        </xdr:cNvPr>
        <xdr:cNvSpPr/>
      </xdr:nvSpPr>
      <xdr:spPr>
        <a:xfrm>
          <a:off x="13501756886" y="42692185"/>
          <a:ext cx="1181689" cy="260729"/>
        </a:xfrm>
        <a:custGeom>
          <a:avLst/>
          <a:gdLst>
            <a:gd name="connsiteX0" fmla="*/ 0 w 566928"/>
            <a:gd name="connsiteY0" fmla="*/ 16822 h 58877"/>
            <a:gd name="connsiteX1" fmla="*/ 84106 w 566928"/>
            <a:gd name="connsiteY1" fmla="*/ 16822 h 58877"/>
            <a:gd name="connsiteX2" fmla="*/ 121954 w 566928"/>
            <a:gd name="connsiteY2" fmla="*/ 8411 h 58877"/>
            <a:gd name="connsiteX3" fmla="*/ 176623 w 566928"/>
            <a:gd name="connsiteY3" fmla="*/ 0 h 58877"/>
            <a:gd name="connsiteX4" fmla="*/ 391093 w 566928"/>
            <a:gd name="connsiteY4" fmla="*/ 4206 h 58877"/>
            <a:gd name="connsiteX5" fmla="*/ 428941 w 566928"/>
            <a:gd name="connsiteY5" fmla="*/ 8411 h 58877"/>
            <a:gd name="connsiteX6" fmla="*/ 479404 w 566928"/>
            <a:gd name="connsiteY6" fmla="*/ 25232 h 58877"/>
            <a:gd name="connsiteX7" fmla="*/ 496226 w 566928"/>
            <a:gd name="connsiteY7" fmla="*/ 29438 h 58877"/>
            <a:gd name="connsiteX8" fmla="*/ 529868 w 566928"/>
            <a:gd name="connsiteY8" fmla="*/ 42053 h 58877"/>
            <a:gd name="connsiteX9" fmla="*/ 559305 w 566928"/>
            <a:gd name="connsiteY9" fmla="*/ 58875 h 588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566928" h="58877">
              <a:moveTo>
                <a:pt x="0" y="16822"/>
              </a:moveTo>
              <a:cubicBezTo>
                <a:pt x="39044" y="24630"/>
                <a:pt x="21699" y="23063"/>
                <a:pt x="84106" y="16822"/>
              </a:cubicBezTo>
              <a:cubicBezTo>
                <a:pt x="107471" y="14485"/>
                <a:pt x="100891" y="11921"/>
                <a:pt x="121954" y="8411"/>
              </a:cubicBezTo>
              <a:cubicBezTo>
                <a:pt x="213545" y="-6853"/>
                <a:pt x="112348" y="12857"/>
                <a:pt x="176623" y="0"/>
              </a:cubicBezTo>
              <a:lnTo>
                <a:pt x="391093" y="4206"/>
              </a:lnTo>
              <a:cubicBezTo>
                <a:pt x="403780" y="4629"/>
                <a:pt x="416441" y="6205"/>
                <a:pt x="428941" y="8411"/>
              </a:cubicBezTo>
              <a:cubicBezTo>
                <a:pt x="485476" y="18388"/>
                <a:pt x="443127" y="11628"/>
                <a:pt x="479404" y="25232"/>
              </a:cubicBezTo>
              <a:cubicBezTo>
                <a:pt x="484816" y="27261"/>
                <a:pt x="490814" y="27409"/>
                <a:pt x="496226" y="29438"/>
              </a:cubicBezTo>
              <a:cubicBezTo>
                <a:pt x="540200" y="45928"/>
                <a:pt x="486697" y="31261"/>
                <a:pt x="529868" y="42053"/>
              </a:cubicBezTo>
              <a:cubicBezTo>
                <a:pt x="564764" y="59502"/>
                <a:pt x="576048" y="58875"/>
                <a:pt x="559305" y="58875"/>
              </a:cubicBezTo>
            </a:path>
          </a:pathLst>
        </a:custGeom>
        <a:noFill/>
        <a:ln>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25233</xdr:colOff>
      <xdr:row>221</xdr:row>
      <xdr:rowOff>0</xdr:rowOff>
    </xdr:from>
    <xdr:to>
      <xdr:col>6</xdr:col>
      <xdr:colOff>126160</xdr:colOff>
      <xdr:row>224</xdr:row>
      <xdr:rowOff>75695</xdr:rowOff>
    </xdr:to>
    <xdr:sp macro="" textlink="">
      <xdr:nvSpPr>
        <xdr:cNvPr id="93" name="Cloud Callout 92">
          <a:extLst>
            <a:ext uri="{FF2B5EF4-FFF2-40B4-BE49-F238E27FC236}">
              <a16:creationId xmlns:a16="http://schemas.microsoft.com/office/drawing/2014/main" id="{A9DF4D96-0F10-C4B2-71E3-A5C8C6D5C470}"/>
            </a:ext>
          </a:extLst>
        </xdr:cNvPr>
        <xdr:cNvSpPr/>
      </xdr:nvSpPr>
      <xdr:spPr>
        <a:xfrm>
          <a:off x="13499250529" y="42162318"/>
          <a:ext cx="1812483" cy="681258"/>
        </a:xfrm>
        <a:prstGeom prst="cloudCallout">
          <a:avLst>
            <a:gd name="adj1" fmla="val 50094"/>
            <a:gd name="adj2" fmla="val 590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מממ מעניין מה אקבל מזה</a:t>
          </a:r>
          <a:endParaRPr lang="en-US" sz="1100"/>
        </a:p>
      </xdr:txBody>
    </xdr:sp>
    <xdr:clientData/>
  </xdr:twoCellAnchor>
  <xdr:twoCellAnchor>
    <xdr:from>
      <xdr:col>2</xdr:col>
      <xdr:colOff>273291</xdr:colOff>
      <xdr:row>288</xdr:row>
      <xdr:rowOff>128608</xdr:rowOff>
    </xdr:from>
    <xdr:to>
      <xdr:col>7</xdr:col>
      <xdr:colOff>442088</xdr:colOff>
      <xdr:row>288</xdr:row>
      <xdr:rowOff>144683</xdr:rowOff>
    </xdr:to>
    <xdr:cxnSp macro="">
      <xdr:nvCxnSpPr>
        <xdr:cNvPr id="35" name="Straight Arrow Connector 34">
          <a:extLst>
            <a:ext uri="{FF2B5EF4-FFF2-40B4-BE49-F238E27FC236}">
              <a16:creationId xmlns:a16="http://schemas.microsoft.com/office/drawing/2014/main" id="{7A1283F4-B58A-AE5D-1FE8-2989F355997F}"/>
            </a:ext>
          </a:extLst>
        </xdr:cNvPr>
        <xdr:cNvCxnSpPr/>
      </xdr:nvCxnSpPr>
      <xdr:spPr>
        <a:xfrm>
          <a:off x="13492443829" y="55048070"/>
          <a:ext cx="4352563" cy="160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590791</xdr:colOff>
      <xdr:row>288</xdr:row>
      <xdr:rowOff>100474</xdr:rowOff>
    </xdr:from>
    <xdr:to>
      <xdr:col>4</xdr:col>
      <xdr:colOff>470220</xdr:colOff>
      <xdr:row>289</xdr:row>
      <xdr:rowOff>136646</xdr:rowOff>
    </xdr:to>
    <xdr:sp macro="" textlink="">
      <xdr:nvSpPr>
        <xdr:cNvPr id="55" name="Left Brace 54">
          <a:extLst>
            <a:ext uri="{FF2B5EF4-FFF2-40B4-BE49-F238E27FC236}">
              <a16:creationId xmlns:a16="http://schemas.microsoft.com/office/drawing/2014/main" id="{3FB7A3F3-4AA7-0CAF-D1FA-1D8E59D3D3FA}"/>
            </a:ext>
          </a:extLst>
        </xdr:cNvPr>
        <xdr:cNvSpPr/>
      </xdr:nvSpPr>
      <xdr:spPr>
        <a:xfrm rot="16200000">
          <a:off x="13495594715" y="54376899"/>
          <a:ext cx="241140" cy="152721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522468</xdr:colOff>
      <xdr:row>286</xdr:row>
      <xdr:rowOff>48228</xdr:rowOff>
    </xdr:from>
    <xdr:to>
      <xdr:col>5</xdr:col>
      <xdr:colOff>172816</xdr:colOff>
      <xdr:row>288</xdr:row>
      <xdr:rowOff>92437</xdr:rowOff>
    </xdr:to>
    <xdr:cxnSp macro="">
      <xdr:nvCxnSpPr>
        <xdr:cNvPr id="61" name="Straight Connector 60">
          <a:extLst>
            <a:ext uri="{FF2B5EF4-FFF2-40B4-BE49-F238E27FC236}">
              <a16:creationId xmlns:a16="http://schemas.microsoft.com/office/drawing/2014/main" id="{6C39F3A2-19BD-5BFC-39DA-28CF41C81105}"/>
            </a:ext>
          </a:extLst>
        </xdr:cNvPr>
        <xdr:cNvCxnSpPr/>
      </xdr:nvCxnSpPr>
      <xdr:spPr>
        <a:xfrm flipH="1" flipV="1">
          <a:off x="13494360886" y="54557753"/>
          <a:ext cx="538544" cy="4541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168798</xdr:colOff>
      <xdr:row>286</xdr:row>
      <xdr:rowOff>32152</xdr:rowOff>
    </xdr:from>
    <xdr:to>
      <xdr:col>6</xdr:col>
      <xdr:colOff>297405</xdr:colOff>
      <xdr:row>286</xdr:row>
      <xdr:rowOff>44209</xdr:rowOff>
    </xdr:to>
    <xdr:cxnSp macro="">
      <xdr:nvCxnSpPr>
        <xdr:cNvPr id="64" name="Straight Connector 63">
          <a:extLst>
            <a:ext uri="{FF2B5EF4-FFF2-40B4-BE49-F238E27FC236}">
              <a16:creationId xmlns:a16="http://schemas.microsoft.com/office/drawing/2014/main" id="{BF626C8B-1477-1001-B1F1-FA0F891860D8}"/>
            </a:ext>
          </a:extLst>
        </xdr:cNvPr>
        <xdr:cNvCxnSpPr/>
      </xdr:nvCxnSpPr>
      <xdr:spPr>
        <a:xfrm flipH="1" flipV="1">
          <a:off x="13493412405" y="54541677"/>
          <a:ext cx="952499" cy="120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293386</xdr:colOff>
      <xdr:row>286</xdr:row>
      <xdr:rowOff>24114</xdr:rowOff>
    </xdr:from>
    <xdr:to>
      <xdr:col>6</xdr:col>
      <xdr:colOff>377785</xdr:colOff>
      <xdr:row>287</xdr:row>
      <xdr:rowOff>48228</xdr:rowOff>
    </xdr:to>
    <xdr:cxnSp macro="">
      <xdr:nvCxnSpPr>
        <xdr:cNvPr id="66" name="Straight Connector 65">
          <a:extLst>
            <a:ext uri="{FF2B5EF4-FFF2-40B4-BE49-F238E27FC236}">
              <a16:creationId xmlns:a16="http://schemas.microsoft.com/office/drawing/2014/main" id="{7CD6EFF1-7A17-B88D-B405-1B4925FB98F1}"/>
            </a:ext>
          </a:extLst>
        </xdr:cNvPr>
        <xdr:cNvCxnSpPr/>
      </xdr:nvCxnSpPr>
      <xdr:spPr>
        <a:xfrm flipV="1">
          <a:off x="13493332025" y="54533639"/>
          <a:ext cx="84399" cy="229083"/>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196930</xdr:colOff>
      <xdr:row>284</xdr:row>
      <xdr:rowOff>120569</xdr:rowOff>
    </xdr:from>
    <xdr:to>
      <xdr:col>5</xdr:col>
      <xdr:colOff>478259</xdr:colOff>
      <xdr:row>285</xdr:row>
      <xdr:rowOff>164779</xdr:rowOff>
    </xdr:to>
    <xdr:sp macro="" textlink="">
      <xdr:nvSpPr>
        <xdr:cNvPr id="72" name="Rounded Rectangle 71">
          <a:extLst>
            <a:ext uri="{FF2B5EF4-FFF2-40B4-BE49-F238E27FC236}">
              <a16:creationId xmlns:a16="http://schemas.microsoft.com/office/drawing/2014/main" id="{338BA4D3-0997-8E54-7C51-36D2AABCDE12}"/>
            </a:ext>
          </a:extLst>
        </xdr:cNvPr>
        <xdr:cNvSpPr/>
      </xdr:nvSpPr>
      <xdr:spPr>
        <a:xfrm>
          <a:off x="13494055443" y="5442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5</xdr:col>
      <xdr:colOff>679208</xdr:colOff>
      <xdr:row>287</xdr:row>
      <xdr:rowOff>116551</xdr:rowOff>
    </xdr:from>
    <xdr:to>
      <xdr:col>6</xdr:col>
      <xdr:colOff>353671</xdr:colOff>
      <xdr:row>287</xdr:row>
      <xdr:rowOff>124589</xdr:rowOff>
    </xdr:to>
    <xdr:cxnSp macro="">
      <xdr:nvCxnSpPr>
        <xdr:cNvPr id="76" name="Straight Connector 75">
          <a:extLst>
            <a:ext uri="{FF2B5EF4-FFF2-40B4-BE49-F238E27FC236}">
              <a16:creationId xmlns:a16="http://schemas.microsoft.com/office/drawing/2014/main" id="{017786E2-6215-F61D-417A-F22BDC868730}"/>
            </a:ext>
          </a:extLst>
        </xdr:cNvPr>
        <xdr:cNvCxnSpPr/>
      </xdr:nvCxnSpPr>
      <xdr:spPr>
        <a:xfrm>
          <a:off x="13493356139" y="55036013"/>
          <a:ext cx="498355" cy="803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815854</xdr:colOff>
      <xdr:row>286</xdr:row>
      <xdr:rowOff>60284</xdr:rowOff>
    </xdr:from>
    <xdr:to>
      <xdr:col>6</xdr:col>
      <xdr:colOff>273291</xdr:colOff>
      <xdr:row>287</xdr:row>
      <xdr:rowOff>104494</xdr:rowOff>
    </xdr:to>
    <xdr:sp macro="" textlink="">
      <xdr:nvSpPr>
        <xdr:cNvPr id="79" name="Rounded Rectangle 78">
          <a:extLst>
            <a:ext uri="{FF2B5EF4-FFF2-40B4-BE49-F238E27FC236}">
              <a16:creationId xmlns:a16="http://schemas.microsoft.com/office/drawing/2014/main" id="{94181C13-02DE-8564-C03F-0E23F9F8A6BA}"/>
            </a:ext>
          </a:extLst>
        </xdr:cNvPr>
        <xdr:cNvSpPr/>
      </xdr:nvSpPr>
      <xdr:spPr>
        <a:xfrm>
          <a:off x="13493436519" y="5477477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0</xdr:col>
      <xdr:colOff>397879</xdr:colOff>
      <xdr:row>296</xdr:row>
      <xdr:rowOff>200949</xdr:rowOff>
    </xdr:from>
    <xdr:to>
      <xdr:col>0</xdr:col>
      <xdr:colOff>679208</xdr:colOff>
      <xdr:row>298</xdr:row>
      <xdr:rowOff>40190</xdr:rowOff>
    </xdr:to>
    <xdr:sp macro="" textlink="">
      <xdr:nvSpPr>
        <xdr:cNvPr id="80" name="Rounded Rectangle 79">
          <a:extLst>
            <a:ext uri="{FF2B5EF4-FFF2-40B4-BE49-F238E27FC236}">
              <a16:creationId xmlns:a16="http://schemas.microsoft.com/office/drawing/2014/main" id="{3B5E6522-E941-73C2-F162-843FA20EC439}"/>
            </a:ext>
          </a:extLst>
        </xdr:cNvPr>
        <xdr:cNvSpPr/>
      </xdr:nvSpPr>
      <xdr:spPr>
        <a:xfrm>
          <a:off x="13498038260" y="5696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0</xdr:col>
      <xdr:colOff>325537</xdr:colOff>
      <xdr:row>301</xdr:row>
      <xdr:rowOff>200949</xdr:rowOff>
    </xdr:from>
    <xdr:to>
      <xdr:col>0</xdr:col>
      <xdr:colOff>606866</xdr:colOff>
      <xdr:row>303</xdr:row>
      <xdr:rowOff>40190</xdr:rowOff>
    </xdr:to>
    <xdr:sp macro="" textlink="">
      <xdr:nvSpPr>
        <xdr:cNvPr id="85" name="Rounded Rectangle 84">
          <a:extLst>
            <a:ext uri="{FF2B5EF4-FFF2-40B4-BE49-F238E27FC236}">
              <a16:creationId xmlns:a16="http://schemas.microsoft.com/office/drawing/2014/main" id="{F0A9AF4B-23E1-C7C7-6C4F-2E7B2DACCEED}"/>
            </a:ext>
          </a:extLst>
        </xdr:cNvPr>
        <xdr:cNvSpPr/>
      </xdr:nvSpPr>
      <xdr:spPr>
        <a:xfrm>
          <a:off x="13498110602" y="5798996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oneCellAnchor>
    <xdr:from>
      <xdr:col>9</xdr:col>
      <xdr:colOff>745306</xdr:colOff>
      <xdr:row>178</xdr:row>
      <xdr:rowOff>22776</xdr:rowOff>
    </xdr:from>
    <xdr:ext cx="934553" cy="17376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F68C0A1E-5825-9053-D73D-10F3986C8F9B}"/>
                </a:ext>
              </a:extLst>
            </xdr:cNvPr>
            <xdr:cNvSpPr txBox="1"/>
          </xdr:nvSpPr>
          <xdr:spPr>
            <a:xfrm>
              <a:off x="13471946902" y="36340006"/>
              <a:ext cx="93455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m:t>
                        </m:r>
                      </m:sub>
                    </m:sSub>
                    <m:r>
                      <a:rPr lang="en-US" sz="1100" b="0" i="1">
                        <a:latin typeface="Cambria Math" panose="02040503050406030204" pitchFamily="18" charset="0"/>
                      </a:rPr>
                      <m:t>=</m:t>
                    </m:r>
                  </m:oMath>
                </m:oMathPara>
              </a14:m>
              <a:endParaRPr lang="en-US" sz="1100"/>
            </a:p>
          </xdr:txBody>
        </xdr:sp>
      </mc:Choice>
      <mc:Fallback xmlns="">
        <xdr:sp macro="" textlink="">
          <xdr:nvSpPr>
            <xdr:cNvPr id="4" name="TextBox 3">
              <a:extLst>
                <a:ext uri="{FF2B5EF4-FFF2-40B4-BE49-F238E27FC236}">
                  <a16:creationId xmlns:a16="http://schemas.microsoft.com/office/drawing/2014/main" id="{F68C0A1E-5825-9053-D73D-10F3986C8F9B}"/>
                </a:ext>
              </a:extLst>
            </xdr:cNvPr>
            <xdr:cNvSpPr txBox="1"/>
          </xdr:nvSpPr>
          <xdr:spPr>
            <a:xfrm>
              <a:off x="13471946902" y="36340006"/>
              <a:ext cx="93455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a:t>
              </a:r>
              <a:endParaRPr lang="en-US" sz="1100"/>
            </a:p>
          </xdr:txBody>
        </xdr:sp>
      </mc:Fallback>
    </mc:AlternateContent>
    <xdr:clientData/>
  </xdr:oneCellAnchor>
  <xdr:oneCellAnchor>
    <xdr:from>
      <xdr:col>9</xdr:col>
      <xdr:colOff>775119</xdr:colOff>
      <xdr:row>182</xdr:row>
      <xdr:rowOff>82400</xdr:rowOff>
    </xdr:from>
    <xdr:ext cx="934553" cy="173766"/>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6D0338F1-A595-D796-4AB9-73D760E42F10}"/>
                </a:ext>
              </a:extLst>
            </xdr:cNvPr>
            <xdr:cNvSpPr txBox="1"/>
          </xdr:nvSpPr>
          <xdr:spPr>
            <a:xfrm>
              <a:off x="13471917089" y="37210522"/>
              <a:ext cx="93455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𝐵</m:t>
                        </m:r>
                      </m:sub>
                    </m:sSub>
                    <m:r>
                      <a:rPr lang="en-US" sz="1100" b="0" i="1">
                        <a:latin typeface="Cambria Math" panose="02040503050406030204" pitchFamily="18" charset="0"/>
                      </a:rPr>
                      <m:t>=</m:t>
                    </m:r>
                  </m:oMath>
                </m:oMathPara>
              </a14:m>
              <a:endParaRPr lang="en-US" sz="1100"/>
            </a:p>
          </xdr:txBody>
        </xdr:sp>
      </mc:Choice>
      <mc:Fallback xmlns="">
        <xdr:sp macro="" textlink="">
          <xdr:nvSpPr>
            <xdr:cNvPr id="37" name="TextBox 36">
              <a:extLst>
                <a:ext uri="{FF2B5EF4-FFF2-40B4-BE49-F238E27FC236}">
                  <a16:creationId xmlns:a16="http://schemas.microsoft.com/office/drawing/2014/main" id="{6D0338F1-A595-D796-4AB9-73D760E42F10}"/>
                </a:ext>
              </a:extLst>
            </xdr:cNvPr>
            <xdr:cNvSpPr txBox="1"/>
          </xdr:nvSpPr>
          <xdr:spPr>
            <a:xfrm>
              <a:off x="13471917089" y="37210522"/>
              <a:ext cx="93455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𝑃𝑉_𝐵=</a:t>
              </a:r>
              <a:endParaRPr lang="en-US" sz="1100"/>
            </a:p>
          </xdr:txBody>
        </xdr:sp>
      </mc:Fallback>
    </mc:AlternateContent>
    <xdr:clientData/>
  </xdr:oneCellAnchor>
  <xdr:twoCellAnchor>
    <xdr:from>
      <xdr:col>5</xdr:col>
      <xdr:colOff>578358</xdr:colOff>
      <xdr:row>201</xdr:row>
      <xdr:rowOff>131174</xdr:rowOff>
    </xdr:from>
    <xdr:to>
      <xdr:col>5</xdr:col>
      <xdr:colOff>739344</xdr:colOff>
      <xdr:row>202</xdr:row>
      <xdr:rowOff>113286</xdr:rowOff>
    </xdr:to>
    <xdr:sp macro="" textlink="">
      <xdr:nvSpPr>
        <xdr:cNvPr id="59" name="Down Arrow 58">
          <a:extLst>
            <a:ext uri="{FF2B5EF4-FFF2-40B4-BE49-F238E27FC236}">
              <a16:creationId xmlns:a16="http://schemas.microsoft.com/office/drawing/2014/main" id="{C5CF8D2C-304E-B651-9F69-801463DA5C03}"/>
            </a:ext>
          </a:extLst>
        </xdr:cNvPr>
        <xdr:cNvSpPr/>
      </xdr:nvSpPr>
      <xdr:spPr>
        <a:xfrm>
          <a:off x="13476178685" y="41134883"/>
          <a:ext cx="160986" cy="18483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387559</xdr:colOff>
      <xdr:row>201</xdr:row>
      <xdr:rowOff>107324</xdr:rowOff>
    </xdr:from>
    <xdr:to>
      <xdr:col>4</xdr:col>
      <xdr:colOff>548545</xdr:colOff>
      <xdr:row>202</xdr:row>
      <xdr:rowOff>89436</xdr:rowOff>
    </xdr:to>
    <xdr:sp macro="" textlink="">
      <xdr:nvSpPr>
        <xdr:cNvPr id="60" name="Down Arrow 59">
          <a:extLst>
            <a:ext uri="{FF2B5EF4-FFF2-40B4-BE49-F238E27FC236}">
              <a16:creationId xmlns:a16="http://schemas.microsoft.com/office/drawing/2014/main" id="{88ABBB4E-1AA4-7238-EE8D-D912F57C54A0}"/>
            </a:ext>
          </a:extLst>
        </xdr:cNvPr>
        <xdr:cNvSpPr/>
      </xdr:nvSpPr>
      <xdr:spPr>
        <a:xfrm>
          <a:off x="13477257887" y="41111033"/>
          <a:ext cx="160986" cy="18483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8</xdr:col>
      <xdr:colOff>681845</xdr:colOff>
      <xdr:row>220</xdr:row>
      <xdr:rowOff>26856</xdr:rowOff>
    </xdr:from>
    <xdr:ext cx="1328417" cy="173766"/>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FF0B6339-5BFA-901E-71BC-FF9825EBA23C}"/>
                </a:ext>
              </a:extLst>
            </xdr:cNvPr>
            <xdr:cNvSpPr txBox="1"/>
          </xdr:nvSpPr>
          <xdr:spPr>
            <a:xfrm>
              <a:off x="13550472033" y="44919274"/>
              <a:ext cx="132841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FF0B6339-5BFA-901E-71BC-FF9825EBA23C}"/>
                </a:ext>
              </a:extLst>
            </xdr:cNvPr>
            <xdr:cNvSpPr txBox="1"/>
          </xdr:nvSpPr>
          <xdr:spPr>
            <a:xfrm>
              <a:off x="13550472033" y="44919274"/>
              <a:ext cx="132841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endParaRPr lang="en-US" sz="1100"/>
            </a:p>
          </xdr:txBody>
        </xdr:sp>
      </mc:Fallback>
    </mc:AlternateContent>
    <xdr:clientData/>
  </xdr:oneCellAnchor>
  <xdr:twoCellAnchor>
    <xdr:from>
      <xdr:col>9</xdr:col>
      <xdr:colOff>588156</xdr:colOff>
      <xdr:row>221</xdr:row>
      <xdr:rowOff>56922</xdr:rowOff>
    </xdr:from>
    <xdr:to>
      <xdr:col>9</xdr:col>
      <xdr:colOff>588875</xdr:colOff>
      <xdr:row>234</xdr:row>
      <xdr:rowOff>150943</xdr:rowOff>
    </xdr:to>
    <xdr:cxnSp macro="">
      <xdr:nvCxnSpPr>
        <xdr:cNvPr id="68" name="Straight Arrow Connector 67">
          <a:extLst>
            <a:ext uri="{FF2B5EF4-FFF2-40B4-BE49-F238E27FC236}">
              <a16:creationId xmlns:a16="http://schemas.microsoft.com/office/drawing/2014/main" id="{D036AA90-8B7A-6718-787C-03583A575E10}"/>
            </a:ext>
          </a:extLst>
        </xdr:cNvPr>
        <xdr:cNvCxnSpPr/>
      </xdr:nvCxnSpPr>
      <xdr:spPr>
        <a:xfrm>
          <a:off x="13551065838" y="45152332"/>
          <a:ext cx="719" cy="273291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173675</xdr:colOff>
      <xdr:row>274</xdr:row>
      <xdr:rowOff>86837</xdr:rowOff>
    </xdr:from>
    <xdr:to>
      <xdr:col>9</xdr:col>
      <xdr:colOff>184529</xdr:colOff>
      <xdr:row>279</xdr:row>
      <xdr:rowOff>141111</xdr:rowOff>
    </xdr:to>
    <xdr:cxnSp macro="">
      <xdr:nvCxnSpPr>
        <xdr:cNvPr id="71" name="Straight Arrow Connector 70">
          <a:extLst>
            <a:ext uri="{FF2B5EF4-FFF2-40B4-BE49-F238E27FC236}">
              <a16:creationId xmlns:a16="http://schemas.microsoft.com/office/drawing/2014/main" id="{272B3E80-8EF6-D044-05EA-C8EF40B3EB30}"/>
            </a:ext>
          </a:extLst>
        </xdr:cNvPr>
        <xdr:cNvCxnSpPr/>
      </xdr:nvCxnSpPr>
      <xdr:spPr>
        <a:xfrm flipH="1">
          <a:off x="13508490684" y="54121538"/>
          <a:ext cx="10854" cy="105833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12</xdr:col>
      <xdr:colOff>548162</xdr:colOff>
      <xdr:row>281</xdr:row>
      <xdr:rowOff>135684</xdr:rowOff>
    </xdr:from>
    <xdr:to>
      <xdr:col>16</xdr:col>
      <xdr:colOff>314786</xdr:colOff>
      <xdr:row>281</xdr:row>
      <xdr:rowOff>146538</xdr:rowOff>
    </xdr:to>
    <xdr:cxnSp macro="">
      <xdr:nvCxnSpPr>
        <xdr:cNvPr id="78" name="Straight Arrow Connector 77">
          <a:extLst>
            <a:ext uri="{FF2B5EF4-FFF2-40B4-BE49-F238E27FC236}">
              <a16:creationId xmlns:a16="http://schemas.microsoft.com/office/drawing/2014/main" id="{F5CAAA3A-17FB-4B1A-42EA-F302FF6673D4}"/>
            </a:ext>
          </a:extLst>
        </xdr:cNvPr>
        <xdr:cNvCxnSpPr/>
      </xdr:nvCxnSpPr>
      <xdr:spPr>
        <a:xfrm>
          <a:off x="13502585727" y="55576069"/>
          <a:ext cx="3066453" cy="108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12</xdr:col>
      <xdr:colOff>499316</xdr:colOff>
      <xdr:row>282</xdr:row>
      <xdr:rowOff>113974</xdr:rowOff>
    </xdr:from>
    <xdr:to>
      <xdr:col>13</xdr:col>
      <xdr:colOff>75982</xdr:colOff>
      <xdr:row>282</xdr:row>
      <xdr:rowOff>113974</xdr:rowOff>
    </xdr:to>
    <xdr:cxnSp macro="">
      <xdr:nvCxnSpPr>
        <xdr:cNvPr id="95" name="Straight Arrow Connector 94">
          <a:extLst>
            <a:ext uri="{FF2B5EF4-FFF2-40B4-BE49-F238E27FC236}">
              <a16:creationId xmlns:a16="http://schemas.microsoft.com/office/drawing/2014/main" id="{559368C7-3AB7-2AE2-1A7E-31BB4A20F0F9}"/>
            </a:ext>
          </a:extLst>
        </xdr:cNvPr>
        <xdr:cNvCxnSpPr/>
      </xdr:nvCxnSpPr>
      <xdr:spPr>
        <a:xfrm>
          <a:off x="13505299402" y="55755171"/>
          <a:ext cx="401624"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12</xdr:col>
      <xdr:colOff>434185</xdr:colOff>
      <xdr:row>282</xdr:row>
      <xdr:rowOff>157394</xdr:rowOff>
    </xdr:from>
    <xdr:to>
      <xdr:col>13</xdr:col>
      <xdr:colOff>694699</xdr:colOff>
      <xdr:row>283</xdr:row>
      <xdr:rowOff>168247</xdr:rowOff>
    </xdr:to>
    <xdr:sp macro="" textlink="">
      <xdr:nvSpPr>
        <xdr:cNvPr id="96" name="Left Brace 95">
          <a:extLst>
            <a:ext uri="{FF2B5EF4-FFF2-40B4-BE49-F238E27FC236}">
              <a16:creationId xmlns:a16="http://schemas.microsoft.com/office/drawing/2014/main" id="{41F5174F-6351-9C0C-97AF-A7CE1506AE4A}"/>
            </a:ext>
          </a:extLst>
        </xdr:cNvPr>
        <xdr:cNvSpPr/>
      </xdr:nvSpPr>
      <xdr:spPr>
        <a:xfrm rot="16200000">
          <a:off x="13505117588" y="55361688"/>
          <a:ext cx="211665" cy="1085472"/>
        </a:xfrm>
        <a:prstGeom prst="leftBrace">
          <a:avLst>
            <a:gd name="adj1" fmla="val 8333"/>
            <a:gd name="adj2" fmla="val 28000"/>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13</xdr:col>
      <xdr:colOff>428760</xdr:colOff>
      <xdr:row>274</xdr:row>
      <xdr:rowOff>65128</xdr:rowOff>
    </xdr:from>
    <xdr:to>
      <xdr:col>13</xdr:col>
      <xdr:colOff>428760</xdr:colOff>
      <xdr:row>278</xdr:row>
      <xdr:rowOff>10854</xdr:rowOff>
    </xdr:to>
    <xdr:cxnSp macro="">
      <xdr:nvCxnSpPr>
        <xdr:cNvPr id="98" name="Straight Connector 97">
          <a:extLst>
            <a:ext uri="{FF2B5EF4-FFF2-40B4-BE49-F238E27FC236}">
              <a16:creationId xmlns:a16="http://schemas.microsoft.com/office/drawing/2014/main" id="{6685C4C4-CE4A-2CC3-E591-B31D243DAD6A}"/>
            </a:ext>
          </a:extLst>
        </xdr:cNvPr>
        <xdr:cNvCxnSpPr/>
      </xdr:nvCxnSpPr>
      <xdr:spPr>
        <a:xfrm flipV="1">
          <a:off x="13504946624" y="54099829"/>
          <a:ext cx="0" cy="74897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423332</xdr:colOff>
      <xdr:row>274</xdr:row>
      <xdr:rowOff>70556</xdr:rowOff>
    </xdr:from>
    <xdr:to>
      <xdr:col>15</xdr:col>
      <xdr:colOff>537307</xdr:colOff>
      <xdr:row>274</xdr:row>
      <xdr:rowOff>75983</xdr:rowOff>
    </xdr:to>
    <xdr:cxnSp macro="">
      <xdr:nvCxnSpPr>
        <xdr:cNvPr id="99" name="Straight Connector 98">
          <a:extLst>
            <a:ext uri="{FF2B5EF4-FFF2-40B4-BE49-F238E27FC236}">
              <a16:creationId xmlns:a16="http://schemas.microsoft.com/office/drawing/2014/main" id="{1AA703D5-F682-384F-6CE4-0C3CFD8AC3FD}"/>
            </a:ext>
          </a:extLst>
        </xdr:cNvPr>
        <xdr:cNvCxnSpPr/>
      </xdr:nvCxnSpPr>
      <xdr:spPr>
        <a:xfrm flipV="1">
          <a:off x="13503188163" y="54105257"/>
          <a:ext cx="1763889" cy="542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15</xdr:col>
      <xdr:colOff>542735</xdr:colOff>
      <xdr:row>274</xdr:row>
      <xdr:rowOff>70556</xdr:rowOff>
    </xdr:from>
    <xdr:to>
      <xdr:col>15</xdr:col>
      <xdr:colOff>542735</xdr:colOff>
      <xdr:row>278</xdr:row>
      <xdr:rowOff>16282</xdr:rowOff>
    </xdr:to>
    <xdr:cxnSp macro="">
      <xdr:nvCxnSpPr>
        <xdr:cNvPr id="102" name="Straight Connector 101">
          <a:extLst>
            <a:ext uri="{FF2B5EF4-FFF2-40B4-BE49-F238E27FC236}">
              <a16:creationId xmlns:a16="http://schemas.microsoft.com/office/drawing/2014/main" id="{EB633889-E577-CDDC-80A1-1F28FF438EF3}"/>
            </a:ext>
          </a:extLst>
        </xdr:cNvPr>
        <xdr:cNvCxnSpPr/>
      </xdr:nvCxnSpPr>
      <xdr:spPr>
        <a:xfrm flipV="1">
          <a:off x="13503182735" y="54105257"/>
          <a:ext cx="0" cy="74897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472179</xdr:colOff>
      <xdr:row>282</xdr:row>
      <xdr:rowOff>97692</xdr:rowOff>
    </xdr:from>
    <xdr:to>
      <xdr:col>15</xdr:col>
      <xdr:colOff>124828</xdr:colOff>
      <xdr:row>284</xdr:row>
      <xdr:rowOff>103120</xdr:rowOff>
    </xdr:to>
    <xdr:cxnSp macro="">
      <xdr:nvCxnSpPr>
        <xdr:cNvPr id="103" name="Straight Arrow Connector 102">
          <a:extLst>
            <a:ext uri="{FF2B5EF4-FFF2-40B4-BE49-F238E27FC236}">
              <a16:creationId xmlns:a16="http://schemas.microsoft.com/office/drawing/2014/main" id="{5349F525-BC77-B344-4329-819CBCC99424}"/>
            </a:ext>
          </a:extLst>
        </xdr:cNvPr>
        <xdr:cNvCxnSpPr/>
      </xdr:nvCxnSpPr>
      <xdr:spPr>
        <a:xfrm flipV="1">
          <a:off x="13503600642" y="55738889"/>
          <a:ext cx="477606" cy="40705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13</xdr:col>
      <xdr:colOff>618719</xdr:colOff>
      <xdr:row>283</xdr:row>
      <xdr:rowOff>50553</xdr:rowOff>
    </xdr:from>
    <xdr:ext cx="1466796" cy="184025"/>
    <mc:AlternateContent xmlns:mc="http://schemas.openxmlformats.org/markup-compatibility/2006" xmlns:a14="http://schemas.microsoft.com/office/drawing/2010/main">
      <mc:Choice Requires="a14">
        <xdr:sp macro="" textlink="">
          <xdr:nvSpPr>
            <xdr:cNvPr id="105" name="TextBox 104">
              <a:extLst>
                <a:ext uri="{FF2B5EF4-FFF2-40B4-BE49-F238E27FC236}">
                  <a16:creationId xmlns:a16="http://schemas.microsoft.com/office/drawing/2014/main" id="{2A61C751-DEDB-B1D8-6944-C2EA2223C0BD}"/>
                </a:ext>
              </a:extLst>
            </xdr:cNvPr>
            <xdr:cNvSpPr txBox="1"/>
          </xdr:nvSpPr>
          <xdr:spPr>
            <a:xfrm rot="19272476" flipH="1">
              <a:off x="13503289869" y="55892562"/>
              <a:ext cx="1466796" cy="184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0" i="1">
                        <a:latin typeface="Cambria Math" panose="02040503050406030204" pitchFamily="18" charset="0"/>
                      </a:rPr>
                      <m:t>∗</m:t>
                    </m:r>
                    <m:sSup>
                      <m:sSupPr>
                        <m:ctrlPr>
                          <a:rPr lang="he-IL" sz="800" b="0" i="1">
                            <a:latin typeface="Cambria Math" panose="02040503050406030204" pitchFamily="18" charset="0"/>
                          </a:rPr>
                        </m:ctrlPr>
                      </m:sSupPr>
                      <m:e>
                        <m:d>
                          <m:dPr>
                            <m:ctrlPr>
                              <a:rPr lang="he-IL" sz="800" b="0" i="1">
                                <a:latin typeface="Cambria Math" panose="02040503050406030204" pitchFamily="18" charset="0"/>
                              </a:rPr>
                            </m:ctrlPr>
                          </m:dPr>
                          <m:e>
                            <m:r>
                              <a:rPr lang="he-IL" sz="800" b="0" i="1">
                                <a:latin typeface="Cambria Math" panose="02040503050406030204" pitchFamily="18" charset="0"/>
                              </a:rPr>
                              <m:t>1+12.6825%</m:t>
                            </m:r>
                          </m:e>
                        </m:d>
                      </m:e>
                      <m:sup>
                        <m:f>
                          <m:fPr>
                            <m:ctrlPr>
                              <a:rPr lang="he-IL" sz="800" b="0" i="1">
                                <a:latin typeface="Cambria Math" panose="02040503050406030204" pitchFamily="18" charset="0"/>
                              </a:rPr>
                            </m:ctrlPr>
                          </m:fPr>
                          <m:num>
                            <m:r>
                              <a:rPr lang="he-IL" sz="800" b="0" i="1">
                                <a:latin typeface="Cambria Math" panose="02040503050406030204" pitchFamily="18" charset="0"/>
                              </a:rPr>
                              <m:t>1</m:t>
                            </m:r>
                          </m:num>
                          <m:den>
                            <m:r>
                              <a:rPr lang="he-IL" sz="800" b="0" i="1">
                                <a:latin typeface="Cambria Math" panose="02040503050406030204" pitchFamily="18" charset="0"/>
                              </a:rPr>
                              <m:t>12</m:t>
                            </m:r>
                          </m:den>
                        </m:f>
                      </m:sup>
                    </m:sSup>
                  </m:oMath>
                </m:oMathPara>
              </a14:m>
              <a:endParaRPr lang="en-US" sz="800"/>
            </a:p>
          </xdr:txBody>
        </xdr:sp>
      </mc:Choice>
      <mc:Fallback xmlns="">
        <xdr:sp macro="" textlink="">
          <xdr:nvSpPr>
            <xdr:cNvPr id="105" name="TextBox 104">
              <a:extLst>
                <a:ext uri="{FF2B5EF4-FFF2-40B4-BE49-F238E27FC236}">
                  <a16:creationId xmlns:a16="http://schemas.microsoft.com/office/drawing/2014/main" id="{2A61C751-DEDB-B1D8-6944-C2EA2223C0BD}"/>
                </a:ext>
              </a:extLst>
            </xdr:cNvPr>
            <xdr:cNvSpPr txBox="1"/>
          </xdr:nvSpPr>
          <xdr:spPr>
            <a:xfrm rot="19272476" flipH="1">
              <a:off x="13503289869" y="55892562"/>
              <a:ext cx="1466796" cy="184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0" i="0">
                  <a:latin typeface="Cambria Math" panose="02040503050406030204" pitchFamily="18" charset="0"/>
                </a:rPr>
                <a:t>∗(1+12.6825%)^(1/12)</a:t>
              </a:r>
              <a:endParaRPr lang="en-US" sz="800"/>
            </a:p>
          </xdr:txBody>
        </xdr:sp>
      </mc:Fallback>
    </mc:AlternateContent>
    <xdr:clientData/>
  </xdr:oneCellAnchor>
  <xdr:oneCellAnchor>
    <xdr:from>
      <xdr:col>13</xdr:col>
      <xdr:colOff>358206</xdr:colOff>
      <xdr:row>285</xdr:row>
      <xdr:rowOff>61408</xdr:rowOff>
    </xdr:from>
    <xdr:ext cx="1466796" cy="184025"/>
    <mc:AlternateContent xmlns:mc="http://schemas.openxmlformats.org/markup-compatibility/2006" xmlns:a14="http://schemas.microsoft.com/office/drawing/2010/main">
      <mc:Choice Requires="a14">
        <xdr:sp macro="" textlink="">
          <xdr:nvSpPr>
            <xdr:cNvPr id="106" name="TextBox 105">
              <a:extLst>
                <a:ext uri="{FF2B5EF4-FFF2-40B4-BE49-F238E27FC236}">
                  <a16:creationId xmlns:a16="http://schemas.microsoft.com/office/drawing/2014/main" id="{1E294977-34B8-E54D-69AB-6FF4D9D40F9A}"/>
                </a:ext>
              </a:extLst>
            </xdr:cNvPr>
            <xdr:cNvSpPr txBox="1"/>
          </xdr:nvSpPr>
          <xdr:spPr>
            <a:xfrm rot="19272476" flipH="1">
              <a:off x="13503550382" y="56305040"/>
              <a:ext cx="1466796" cy="184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0" i="1">
                        <a:latin typeface="Cambria Math" panose="02040503050406030204" pitchFamily="18" charset="0"/>
                      </a:rPr>
                      <m:t>∗</m:t>
                    </m:r>
                    <m:sSup>
                      <m:sSupPr>
                        <m:ctrlPr>
                          <a:rPr lang="he-IL" sz="800" b="0" i="1">
                            <a:latin typeface="Cambria Math" panose="02040503050406030204" pitchFamily="18" charset="0"/>
                          </a:rPr>
                        </m:ctrlPr>
                      </m:sSupPr>
                      <m:e>
                        <m:d>
                          <m:dPr>
                            <m:ctrlPr>
                              <a:rPr lang="he-IL" sz="800" b="0" i="1">
                                <a:latin typeface="Cambria Math" panose="02040503050406030204" pitchFamily="18" charset="0"/>
                              </a:rPr>
                            </m:ctrlPr>
                          </m:dPr>
                          <m:e>
                            <m:r>
                              <a:rPr lang="he-IL" sz="800" b="0" i="1">
                                <a:latin typeface="Cambria Math" panose="02040503050406030204" pitchFamily="18" charset="0"/>
                              </a:rPr>
                              <m:t>1+3.030099311%</m:t>
                            </m:r>
                          </m:e>
                        </m:d>
                      </m:e>
                      <m:sup>
                        <m:f>
                          <m:fPr>
                            <m:ctrlPr>
                              <a:rPr lang="he-IL" sz="800" b="0" i="1">
                                <a:latin typeface="Cambria Math" panose="02040503050406030204" pitchFamily="18" charset="0"/>
                              </a:rPr>
                            </m:ctrlPr>
                          </m:fPr>
                          <m:num>
                            <m:r>
                              <a:rPr lang="he-IL" sz="800" b="0" i="1">
                                <a:latin typeface="Cambria Math" panose="02040503050406030204" pitchFamily="18" charset="0"/>
                              </a:rPr>
                              <m:t>1</m:t>
                            </m:r>
                          </m:num>
                          <m:den>
                            <m:r>
                              <a:rPr lang="he-IL" sz="800" b="0" i="1">
                                <a:latin typeface="Cambria Math" panose="02040503050406030204" pitchFamily="18" charset="0"/>
                              </a:rPr>
                              <m:t>3</m:t>
                            </m:r>
                          </m:den>
                        </m:f>
                      </m:sup>
                    </m:sSup>
                  </m:oMath>
                </m:oMathPara>
              </a14:m>
              <a:endParaRPr lang="en-US" sz="800"/>
            </a:p>
          </xdr:txBody>
        </xdr:sp>
      </mc:Choice>
      <mc:Fallback xmlns="">
        <xdr:sp macro="" textlink="">
          <xdr:nvSpPr>
            <xdr:cNvPr id="106" name="TextBox 105">
              <a:extLst>
                <a:ext uri="{FF2B5EF4-FFF2-40B4-BE49-F238E27FC236}">
                  <a16:creationId xmlns:a16="http://schemas.microsoft.com/office/drawing/2014/main" id="{1E294977-34B8-E54D-69AB-6FF4D9D40F9A}"/>
                </a:ext>
              </a:extLst>
            </xdr:cNvPr>
            <xdr:cNvSpPr txBox="1"/>
          </xdr:nvSpPr>
          <xdr:spPr>
            <a:xfrm rot="19272476" flipH="1">
              <a:off x="13503550382" y="56305040"/>
              <a:ext cx="1466796" cy="1840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0" i="0">
                  <a:latin typeface="Cambria Math" panose="02040503050406030204" pitchFamily="18" charset="0"/>
                </a:rPr>
                <a:t>∗(1+3.030099311%)^(1/3)</a:t>
              </a:r>
              <a:endParaRPr lang="en-US" sz="800"/>
            </a:p>
          </xdr:txBody>
        </xdr:sp>
      </mc:Fallback>
    </mc:AlternateContent>
    <xdr:clientData/>
  </xdr:oneCellAnchor>
  <xdr:oneCellAnchor>
    <xdr:from>
      <xdr:col>13</xdr:col>
      <xdr:colOff>434188</xdr:colOff>
      <xdr:row>284</xdr:row>
      <xdr:rowOff>72513</xdr:rowOff>
    </xdr:from>
    <xdr:ext cx="1466796" cy="140103"/>
    <mc:AlternateContent xmlns:mc="http://schemas.openxmlformats.org/markup-compatibility/2006" xmlns:a14="http://schemas.microsoft.com/office/drawing/2010/main">
      <mc:Choice Requires="a14">
        <xdr:sp macro="" textlink="">
          <xdr:nvSpPr>
            <xdr:cNvPr id="107" name="TextBox 106">
              <a:extLst>
                <a:ext uri="{FF2B5EF4-FFF2-40B4-BE49-F238E27FC236}">
                  <a16:creationId xmlns:a16="http://schemas.microsoft.com/office/drawing/2014/main" id="{EFAE1985-B2FA-DA33-E47B-B47D5179037C}"/>
                </a:ext>
              </a:extLst>
            </xdr:cNvPr>
            <xdr:cNvSpPr txBox="1"/>
          </xdr:nvSpPr>
          <xdr:spPr>
            <a:xfrm rot="19272476" flipH="1">
              <a:off x="13503474400" y="56115334"/>
              <a:ext cx="1466796" cy="140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800" b="0" i="1">
                        <a:latin typeface="Cambria Math" panose="02040503050406030204" pitchFamily="18" charset="0"/>
                      </a:rPr>
                      <m:t>או</m:t>
                    </m:r>
                  </m:oMath>
                </m:oMathPara>
              </a14:m>
              <a:endParaRPr lang="en-US" sz="800"/>
            </a:p>
          </xdr:txBody>
        </xdr:sp>
      </mc:Choice>
      <mc:Fallback xmlns="">
        <xdr:sp macro="" textlink="">
          <xdr:nvSpPr>
            <xdr:cNvPr id="107" name="TextBox 106">
              <a:extLst>
                <a:ext uri="{FF2B5EF4-FFF2-40B4-BE49-F238E27FC236}">
                  <a16:creationId xmlns:a16="http://schemas.microsoft.com/office/drawing/2014/main" id="{EFAE1985-B2FA-DA33-E47B-B47D5179037C}"/>
                </a:ext>
              </a:extLst>
            </xdr:cNvPr>
            <xdr:cNvSpPr txBox="1"/>
          </xdr:nvSpPr>
          <xdr:spPr>
            <a:xfrm rot="19272476" flipH="1">
              <a:off x="13503474400" y="56115334"/>
              <a:ext cx="1466796" cy="140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800" b="0" i="0">
                  <a:latin typeface="Cambria Math" panose="02040503050406030204" pitchFamily="18" charset="0"/>
                </a:rPr>
                <a:t>או</a:t>
              </a:r>
              <a:endParaRPr lang="en-US" sz="800"/>
            </a:p>
          </xdr:txBody>
        </xdr:sp>
      </mc:Fallback>
    </mc:AlternateContent>
    <xdr:clientData/>
  </xdr:oneCellAnchor>
  <xdr:twoCellAnchor>
    <xdr:from>
      <xdr:col>3</xdr:col>
      <xdr:colOff>727137</xdr:colOff>
      <xdr:row>326</xdr:row>
      <xdr:rowOff>99608</xdr:rowOff>
    </xdr:from>
    <xdr:to>
      <xdr:col>4</xdr:col>
      <xdr:colOff>99608</xdr:colOff>
      <xdr:row>326</xdr:row>
      <xdr:rowOff>104588</xdr:rowOff>
    </xdr:to>
    <xdr:cxnSp macro="">
      <xdr:nvCxnSpPr>
        <xdr:cNvPr id="109" name="Straight Arrow Connector 108">
          <a:extLst>
            <a:ext uri="{FF2B5EF4-FFF2-40B4-BE49-F238E27FC236}">
              <a16:creationId xmlns:a16="http://schemas.microsoft.com/office/drawing/2014/main" id="{3ADA847C-C2B2-8405-AAEF-84363BF517F2}"/>
            </a:ext>
          </a:extLst>
        </xdr:cNvPr>
        <xdr:cNvCxnSpPr/>
      </xdr:nvCxnSpPr>
      <xdr:spPr>
        <a:xfrm>
          <a:off x="13542049843" y="65527020"/>
          <a:ext cx="199216" cy="498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448235</xdr:colOff>
      <xdr:row>329</xdr:row>
      <xdr:rowOff>19922</xdr:rowOff>
    </xdr:from>
    <xdr:to>
      <xdr:col>4</xdr:col>
      <xdr:colOff>463176</xdr:colOff>
      <xdr:row>330</xdr:row>
      <xdr:rowOff>119529</xdr:rowOff>
    </xdr:to>
    <xdr:cxnSp macro="">
      <xdr:nvCxnSpPr>
        <xdr:cNvPr id="110" name="Straight Arrow Connector 109">
          <a:extLst>
            <a:ext uri="{FF2B5EF4-FFF2-40B4-BE49-F238E27FC236}">
              <a16:creationId xmlns:a16="http://schemas.microsoft.com/office/drawing/2014/main" id="{6311F197-5500-4CA7-DEC0-723330A7378A}"/>
            </a:ext>
          </a:extLst>
        </xdr:cNvPr>
        <xdr:cNvCxnSpPr/>
      </xdr:nvCxnSpPr>
      <xdr:spPr>
        <a:xfrm>
          <a:off x="13541686275" y="66059922"/>
          <a:ext cx="14941" cy="30380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369747</xdr:colOff>
      <xdr:row>57</xdr:row>
      <xdr:rowOff>90026</xdr:rowOff>
    </xdr:from>
    <xdr:to>
      <xdr:col>4</xdr:col>
      <xdr:colOff>369747</xdr:colOff>
      <xdr:row>57</xdr:row>
      <xdr:rowOff>205772</xdr:rowOff>
    </xdr:to>
    <xdr:cxnSp macro="">
      <xdr:nvCxnSpPr>
        <xdr:cNvPr id="3" name="Straight Connector 2">
          <a:extLst>
            <a:ext uri="{FF2B5EF4-FFF2-40B4-BE49-F238E27FC236}">
              <a16:creationId xmlns:a16="http://schemas.microsoft.com/office/drawing/2014/main" id="{CD00DFB8-F1F0-3F86-DF43-7C484CA057ED}"/>
            </a:ext>
          </a:extLst>
        </xdr:cNvPr>
        <xdr:cNvCxnSpPr/>
      </xdr:nvCxnSpPr>
      <xdr:spPr>
        <a:xfrm flipV="1">
          <a:off x="13534486456" y="11712937"/>
          <a:ext cx="0" cy="1157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755569</xdr:colOff>
      <xdr:row>57</xdr:row>
      <xdr:rowOff>163976</xdr:rowOff>
    </xdr:from>
    <xdr:to>
      <xdr:col>4</xdr:col>
      <xdr:colOff>360102</xdr:colOff>
      <xdr:row>57</xdr:row>
      <xdr:rowOff>170405</xdr:rowOff>
    </xdr:to>
    <xdr:cxnSp macro="">
      <xdr:nvCxnSpPr>
        <xdr:cNvPr id="6" name="Straight Connector 5">
          <a:extLst>
            <a:ext uri="{FF2B5EF4-FFF2-40B4-BE49-F238E27FC236}">
              <a16:creationId xmlns:a16="http://schemas.microsoft.com/office/drawing/2014/main" id="{9475A828-4C29-0363-DBC9-E4CEE3AAF7A5}"/>
            </a:ext>
          </a:extLst>
        </xdr:cNvPr>
        <xdr:cNvCxnSpPr/>
      </xdr:nvCxnSpPr>
      <xdr:spPr>
        <a:xfrm>
          <a:off x="13534496101" y="11786887"/>
          <a:ext cx="1257140"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244355</xdr:colOff>
      <xdr:row>57</xdr:row>
      <xdr:rowOff>324735</xdr:rowOff>
    </xdr:from>
    <xdr:to>
      <xdr:col>3</xdr:col>
      <xdr:colOff>247570</xdr:colOff>
      <xdr:row>59</xdr:row>
      <xdr:rowOff>86810</xdr:rowOff>
    </xdr:to>
    <xdr:cxnSp macro="">
      <xdr:nvCxnSpPr>
        <xdr:cNvPr id="11" name="Straight Connector 10">
          <a:extLst>
            <a:ext uri="{FF2B5EF4-FFF2-40B4-BE49-F238E27FC236}">
              <a16:creationId xmlns:a16="http://schemas.microsoft.com/office/drawing/2014/main" id="{3195BC66-F9AE-A479-10A3-B8289B1DEE0A}"/>
            </a:ext>
          </a:extLst>
        </xdr:cNvPr>
        <xdr:cNvCxnSpPr/>
      </xdr:nvCxnSpPr>
      <xdr:spPr>
        <a:xfrm flipH="1" flipV="1">
          <a:off x="13535434937" y="11947646"/>
          <a:ext cx="3215" cy="30865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736278</xdr:colOff>
      <xdr:row>59</xdr:row>
      <xdr:rowOff>80381</xdr:rowOff>
    </xdr:from>
    <xdr:to>
      <xdr:col>3</xdr:col>
      <xdr:colOff>244356</xdr:colOff>
      <xdr:row>59</xdr:row>
      <xdr:rowOff>86810</xdr:rowOff>
    </xdr:to>
    <xdr:cxnSp macro="">
      <xdr:nvCxnSpPr>
        <xdr:cNvPr id="13" name="Straight Connector 12">
          <a:extLst>
            <a:ext uri="{FF2B5EF4-FFF2-40B4-BE49-F238E27FC236}">
              <a16:creationId xmlns:a16="http://schemas.microsoft.com/office/drawing/2014/main" id="{DC4A794A-7B55-8785-19DF-5FCC3BA8EEBF}"/>
            </a:ext>
          </a:extLst>
        </xdr:cNvPr>
        <xdr:cNvCxnSpPr/>
      </xdr:nvCxnSpPr>
      <xdr:spPr>
        <a:xfrm>
          <a:off x="13535438151" y="12249875"/>
          <a:ext cx="334381"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403225</xdr:colOff>
      <xdr:row>77</xdr:row>
      <xdr:rowOff>28575</xdr:rowOff>
    </xdr:from>
    <xdr:to>
      <xdr:col>4</xdr:col>
      <xdr:colOff>406400</xdr:colOff>
      <xdr:row>78</xdr:row>
      <xdr:rowOff>114300</xdr:rowOff>
    </xdr:to>
    <xdr:cxnSp macro="">
      <xdr:nvCxnSpPr>
        <xdr:cNvPr id="16" name="Straight Arrow Connector 15">
          <a:extLst>
            <a:ext uri="{FF2B5EF4-FFF2-40B4-BE49-F238E27FC236}">
              <a16:creationId xmlns:a16="http://schemas.microsoft.com/office/drawing/2014/main" id="{84ACA18E-FA5B-7CF9-4B60-393E46615C7C}"/>
            </a:ext>
          </a:extLst>
        </xdr:cNvPr>
        <xdr:cNvCxnSpPr/>
      </xdr:nvCxnSpPr>
      <xdr:spPr>
        <a:xfrm>
          <a:off x="13521283600" y="15890875"/>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384175</xdr:colOff>
      <xdr:row>77</xdr:row>
      <xdr:rowOff>31750</xdr:rowOff>
    </xdr:from>
    <xdr:to>
      <xdr:col>3</xdr:col>
      <xdr:colOff>387350</xdr:colOff>
      <xdr:row>78</xdr:row>
      <xdr:rowOff>117475</xdr:rowOff>
    </xdr:to>
    <xdr:cxnSp macro="">
      <xdr:nvCxnSpPr>
        <xdr:cNvPr id="17" name="Straight Arrow Connector 16">
          <a:extLst>
            <a:ext uri="{FF2B5EF4-FFF2-40B4-BE49-F238E27FC236}">
              <a16:creationId xmlns:a16="http://schemas.microsoft.com/office/drawing/2014/main" id="{3C58BA9D-D697-4619-5502-04302B10CA13}"/>
            </a:ext>
          </a:extLst>
        </xdr:cNvPr>
        <xdr:cNvCxnSpPr/>
      </xdr:nvCxnSpPr>
      <xdr:spPr>
        <a:xfrm>
          <a:off x="13522128150" y="15894050"/>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2</xdr:col>
      <xdr:colOff>79850</xdr:colOff>
      <xdr:row>92</xdr:row>
      <xdr:rowOff>29742</xdr:rowOff>
    </xdr:from>
    <xdr:to>
      <xdr:col>2</xdr:col>
      <xdr:colOff>662909</xdr:colOff>
      <xdr:row>95</xdr:row>
      <xdr:rowOff>13993</xdr:rowOff>
    </xdr:to>
    <xdr:pic>
      <xdr:nvPicPr>
        <xdr:cNvPr id="18" name="Picture 17">
          <a:extLst>
            <a:ext uri="{FF2B5EF4-FFF2-40B4-BE49-F238E27FC236}">
              <a16:creationId xmlns:a16="http://schemas.microsoft.com/office/drawing/2014/main" id="{0CBD5439-2654-E0DE-D99A-7C98B3420282}"/>
            </a:ext>
          </a:extLst>
        </xdr:cNvPr>
        <xdr:cNvPicPr>
          <a:picLocks noChangeAspect="1"/>
        </xdr:cNvPicPr>
      </xdr:nvPicPr>
      <xdr:blipFill>
        <a:blip xmlns:r="http://schemas.openxmlformats.org/officeDocument/2006/relationships" r:embed="rId1"/>
        <a:stretch>
          <a:fillRect/>
        </a:stretch>
      </xdr:blipFill>
      <xdr:spPr>
        <a:xfrm>
          <a:off x="13516449007" y="18802167"/>
          <a:ext cx="583059" cy="588832"/>
        </a:xfrm>
        <a:prstGeom prst="rect">
          <a:avLst/>
        </a:prstGeom>
      </xdr:spPr>
    </xdr:pic>
    <xdr:clientData/>
  </xdr:twoCellAnchor>
  <xdr:oneCellAnchor>
    <xdr:from>
      <xdr:col>2</xdr:col>
      <xdr:colOff>102664</xdr:colOff>
      <xdr:row>102</xdr:row>
      <xdr:rowOff>14533</xdr:rowOff>
    </xdr:from>
    <xdr:ext cx="583059" cy="588832"/>
    <xdr:pic>
      <xdr:nvPicPr>
        <xdr:cNvPr id="19" name="Picture 18">
          <a:extLst>
            <a:ext uri="{FF2B5EF4-FFF2-40B4-BE49-F238E27FC236}">
              <a16:creationId xmlns:a16="http://schemas.microsoft.com/office/drawing/2014/main" id="{58EA807F-C3FF-834E-866F-97A4B2C39C83}"/>
            </a:ext>
          </a:extLst>
        </xdr:cNvPr>
        <xdr:cNvPicPr>
          <a:picLocks noChangeAspect="1"/>
        </xdr:cNvPicPr>
      </xdr:nvPicPr>
      <xdr:blipFill>
        <a:blip xmlns:r="http://schemas.openxmlformats.org/officeDocument/2006/relationships" r:embed="rId1"/>
        <a:stretch>
          <a:fillRect/>
        </a:stretch>
      </xdr:blipFill>
      <xdr:spPr>
        <a:xfrm>
          <a:off x="13516426193" y="20802228"/>
          <a:ext cx="583059" cy="588832"/>
        </a:xfrm>
        <a:prstGeom prst="rect">
          <a:avLst/>
        </a:prstGeom>
      </xdr:spPr>
    </xdr:pic>
    <xdr:clientData/>
  </xdr:oneCellAnchor>
  <xdr:twoCellAnchor>
    <xdr:from>
      <xdr:col>9</xdr:col>
      <xdr:colOff>425868</xdr:colOff>
      <xdr:row>100</xdr:row>
      <xdr:rowOff>60838</xdr:rowOff>
    </xdr:from>
    <xdr:to>
      <xdr:col>9</xdr:col>
      <xdr:colOff>425868</xdr:colOff>
      <xdr:row>102</xdr:row>
      <xdr:rowOff>129281</xdr:rowOff>
    </xdr:to>
    <xdr:cxnSp macro="">
      <xdr:nvCxnSpPr>
        <xdr:cNvPr id="22" name="Straight Arrow Connector 21">
          <a:extLst>
            <a:ext uri="{FF2B5EF4-FFF2-40B4-BE49-F238E27FC236}">
              <a16:creationId xmlns:a16="http://schemas.microsoft.com/office/drawing/2014/main" id="{40988C78-DB93-37E5-D87A-50CA1F37D726}"/>
            </a:ext>
          </a:extLst>
        </xdr:cNvPr>
        <xdr:cNvCxnSpPr/>
      </xdr:nvCxnSpPr>
      <xdr:spPr>
        <a:xfrm>
          <a:off x="13510910210" y="20445479"/>
          <a:ext cx="0" cy="4714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7</xdr:col>
      <xdr:colOff>76048</xdr:colOff>
      <xdr:row>92</xdr:row>
      <xdr:rowOff>7604</xdr:rowOff>
    </xdr:from>
    <xdr:to>
      <xdr:col>8</xdr:col>
      <xdr:colOff>201528</xdr:colOff>
      <xdr:row>96</xdr:row>
      <xdr:rowOff>175568</xdr:rowOff>
    </xdr:to>
    <xdr:pic>
      <xdr:nvPicPr>
        <xdr:cNvPr id="23" name="Picture 22">
          <a:extLst>
            <a:ext uri="{FF2B5EF4-FFF2-40B4-BE49-F238E27FC236}">
              <a16:creationId xmlns:a16="http://schemas.microsoft.com/office/drawing/2014/main" id="{6AA8C0BB-2FB5-C111-07F4-704859347687}"/>
            </a:ext>
          </a:extLst>
        </xdr:cNvPr>
        <xdr:cNvPicPr>
          <a:picLocks noChangeAspect="1"/>
        </xdr:cNvPicPr>
      </xdr:nvPicPr>
      <xdr:blipFill>
        <a:blip xmlns:r="http://schemas.openxmlformats.org/officeDocument/2006/relationships" r:embed="rId2"/>
        <a:stretch>
          <a:fillRect/>
        </a:stretch>
      </xdr:blipFill>
      <xdr:spPr>
        <a:xfrm>
          <a:off x="13511959670" y="18780029"/>
          <a:ext cx="950600" cy="974072"/>
        </a:xfrm>
        <a:prstGeom prst="rect">
          <a:avLst/>
        </a:prstGeom>
      </xdr:spPr>
    </xdr:pic>
    <xdr:clientData/>
  </xdr:twoCellAnchor>
  <xdr:oneCellAnchor>
    <xdr:from>
      <xdr:col>2</xdr:col>
      <xdr:colOff>227702</xdr:colOff>
      <xdr:row>151</xdr:row>
      <xdr:rowOff>104038</xdr:rowOff>
    </xdr:from>
    <xdr:ext cx="2899699" cy="3408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r>
                      <a:rPr lang="en-US" sz="1100" b="0" i="1">
                        <a:latin typeface="Cambria Math" panose="02040503050406030204" pitchFamily="18" charset="0"/>
                      </a:rPr>
                      <m:t>𝑃𝑉𝐹𝐴</m:t>
                    </m:r>
                    <m:d>
                      <m:dPr>
                        <m:ctrlPr>
                          <a:rPr lang="en-US" sz="1100" b="0" i="1">
                            <a:latin typeface="Cambria Math" panose="02040503050406030204" pitchFamily="18" charset="0"/>
                          </a:rPr>
                        </m:ctrlPr>
                      </m:dPr>
                      <m:e>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𝑛</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𝑃𝑉=𝑃𝑀𝑇∗𝑃𝑉𝐹𝐴(𝑟,𝑛)+𝐹𝑉/(1+𝑟)^𝑛 </a:t>
              </a:r>
              <a:endParaRPr lang="en-US" sz="1100"/>
            </a:p>
          </xdr:txBody>
        </xdr:sp>
      </mc:Fallback>
    </mc:AlternateContent>
    <xdr:clientData/>
  </xdr:oneCellAnchor>
  <xdr:oneCellAnchor>
    <xdr:from>
      <xdr:col>2</xdr:col>
      <xdr:colOff>189218</xdr:colOff>
      <xdr:row>153</xdr:row>
      <xdr:rowOff>190629</xdr:rowOff>
    </xdr:from>
    <xdr:ext cx="2899699" cy="48474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1</xdr:col>
      <xdr:colOff>205252</xdr:colOff>
      <xdr:row>158</xdr:row>
      <xdr:rowOff>132902</xdr:rowOff>
    </xdr:from>
    <xdr:ext cx="3836164" cy="489045"/>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 </m:t>
                        </m:r>
                      </m:num>
                      <m:den>
                        <m:r>
                          <a:rPr lang="en-US" sz="1100" b="0" i="1">
                            <a:latin typeface="Cambria Math" panose="02040503050406030204" pitchFamily="18" charset="0"/>
                          </a:rPr>
                          <m:t>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=1,049.11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𝑃𝑉=64∗(1−1/(1+5%)^15   )/(5%)+800/(1+5%)^15 =1,049.11</a:t>
              </a:r>
              <a:endParaRPr lang="en-US" sz="1100"/>
            </a:p>
          </xdr:txBody>
        </xdr:sp>
      </mc:Fallback>
    </mc:AlternateContent>
    <xdr:clientData/>
  </xdr:oneCellAnchor>
  <xdr:oneCellAnchor>
    <xdr:from>
      <xdr:col>1</xdr:col>
      <xdr:colOff>230909</xdr:colOff>
      <xdr:row>162</xdr:row>
      <xdr:rowOff>123282</xdr:rowOff>
    </xdr:from>
    <xdr:ext cx="3836164" cy="489045"/>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 </m:t>
                        </m:r>
                      </m:num>
                      <m:den>
                        <m:r>
                          <a:rPr lang="he-IL" sz="1100" b="0" i="1">
                            <a:latin typeface="Cambria Math" panose="02040503050406030204" pitchFamily="18" charset="0"/>
                          </a:rPr>
                          <m:t>6</m:t>
                        </m:r>
                        <m:r>
                          <a:rPr lang="en-US" sz="1100" b="0" i="1">
                            <a:latin typeface="Cambria Math" panose="02040503050406030204" pitchFamily="18" charset="0"/>
                          </a:rPr>
                          <m:t>%</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m:t>
                    </m:r>
                    <m:r>
                      <a:rPr lang="he-IL" sz="1100" b="0" i="1">
                        <a:latin typeface="Cambria Math" panose="02040503050406030204" pitchFamily="18" charset="0"/>
                      </a:rPr>
                      <m:t>908.83</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6</a:t>
              </a:r>
              <a:r>
                <a:rPr lang="en-US" sz="1100" b="0" i="0">
                  <a:latin typeface="Cambria Math" panose="02040503050406030204" pitchFamily="18" charset="0"/>
                </a:rPr>
                <a:t>%)+800/(1+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908.83</a:t>
              </a:r>
              <a:endParaRPr lang="en-US" sz="1100"/>
            </a:p>
          </xdr:txBody>
        </xdr:sp>
      </mc:Fallback>
    </mc:AlternateContent>
    <xdr:clientData/>
  </xdr:oneCellAnchor>
  <xdr:oneCellAnchor>
    <xdr:from>
      <xdr:col>1</xdr:col>
      <xdr:colOff>394471</xdr:colOff>
      <xdr:row>166</xdr:row>
      <xdr:rowOff>164971</xdr:rowOff>
    </xdr:from>
    <xdr:ext cx="3438485" cy="486672"/>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1,049.11=64∗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908.83</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1,049.11=64∗</a:t>
              </a:r>
              <a:r>
                <a:rPr lang="en-US" sz="1100" b="0" i="0">
                  <a:latin typeface="Cambria Math" panose="02040503050406030204" pitchFamily="18" charset="0"/>
                </a:rPr>
                <a:t>(1−1/(1+𝑟)^6</a:t>
              </a:r>
              <a:r>
                <a:rPr lang="he-IL" sz="1100" b="0" i="0">
                  <a:latin typeface="Cambria Math" panose="02040503050406030204" pitchFamily="18" charset="0"/>
                </a:rPr>
                <a:t> </a:t>
              </a:r>
              <a:r>
                <a:rPr lang="en-US" sz="1100" b="0" i="0">
                  <a:latin typeface="Cambria Math" panose="02040503050406030204" pitchFamily="18" charset="0"/>
                </a:rPr>
                <a:t>  )/𝑟+908.83/(1+𝑟)^6 </a:t>
              </a:r>
              <a:endParaRPr lang="en-US" sz="1100"/>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oneCellAnchor>
    <xdr:from>
      <xdr:col>3</xdr:col>
      <xdr:colOff>31750</xdr:colOff>
      <xdr:row>98</xdr:row>
      <xdr:rowOff>34924</xdr:rowOff>
    </xdr:from>
    <xdr:ext cx="2531430" cy="17370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𝑅𝐸𝐴𝐿</m:t>
                        </m:r>
                      </m:sub>
                    </m:sSub>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rPr>
                      <m:t>)</m:t>
                    </m:r>
                  </m:oMath>
                </m:oMathPara>
              </a14:m>
              <a:endParaRPr lang="en-US" sz="1100"/>
            </a:p>
          </xdr:txBody>
        </xdr:sp>
      </mc:Choice>
      <mc:Fallback xmlns="">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𝑃𝑉_𝐴𝐶𝑇𝑈𝐴𝐿=𝑃𝑉_𝑅𝐸𝐴𝐿∗(1+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a:t>
              </a:r>
              <a:endParaRPr lang="en-US" sz="1100"/>
            </a:p>
          </xdr:txBody>
        </xdr:sp>
      </mc:Fallback>
    </mc:AlternateContent>
    <xdr:clientData/>
  </xdr:oneCellAnchor>
  <xdr:twoCellAnchor>
    <xdr:from>
      <xdr:col>5</xdr:col>
      <xdr:colOff>292100</xdr:colOff>
      <xdr:row>99</xdr:row>
      <xdr:rowOff>76200</xdr:rowOff>
    </xdr:from>
    <xdr:to>
      <xdr:col>5</xdr:col>
      <xdr:colOff>292100</xdr:colOff>
      <xdr:row>101</xdr:row>
      <xdr:rowOff>120650</xdr:rowOff>
    </xdr:to>
    <xdr:cxnSp macro="">
      <xdr:nvCxnSpPr>
        <xdr:cNvPr id="4" name="Straight Arrow Connector 3">
          <a:extLst>
            <a:ext uri="{FF2B5EF4-FFF2-40B4-BE49-F238E27FC236}">
              <a16:creationId xmlns:a16="http://schemas.microsoft.com/office/drawing/2014/main" id="{859F9E59-CC9E-57D8-955A-0190D3B08F04}"/>
            </a:ext>
          </a:extLst>
        </xdr:cNvPr>
        <xdr:cNvCxnSpPr/>
      </xdr:nvCxnSpPr>
      <xdr:spPr>
        <a:xfrm>
          <a:off x="1352057240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387350</xdr:colOff>
      <xdr:row>99</xdr:row>
      <xdr:rowOff>76200</xdr:rowOff>
    </xdr:from>
    <xdr:to>
      <xdr:col>4</xdr:col>
      <xdr:colOff>387350</xdr:colOff>
      <xdr:row>101</xdr:row>
      <xdr:rowOff>120650</xdr:rowOff>
    </xdr:to>
    <xdr:cxnSp macro="">
      <xdr:nvCxnSpPr>
        <xdr:cNvPr id="5" name="Straight Arrow Connector 4">
          <a:extLst>
            <a:ext uri="{FF2B5EF4-FFF2-40B4-BE49-F238E27FC236}">
              <a16:creationId xmlns:a16="http://schemas.microsoft.com/office/drawing/2014/main" id="{F95EE53F-23AE-0E62-D993-2E5E7ADD27B0}"/>
            </a:ext>
          </a:extLst>
        </xdr:cNvPr>
        <xdr:cNvCxnSpPr/>
      </xdr:nvCxnSpPr>
      <xdr:spPr>
        <a:xfrm>
          <a:off x="1352130265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552450</xdr:colOff>
      <xdr:row>99</xdr:row>
      <xdr:rowOff>50800</xdr:rowOff>
    </xdr:from>
    <xdr:to>
      <xdr:col>3</xdr:col>
      <xdr:colOff>552450</xdr:colOff>
      <xdr:row>101</xdr:row>
      <xdr:rowOff>95250</xdr:rowOff>
    </xdr:to>
    <xdr:cxnSp macro="">
      <xdr:nvCxnSpPr>
        <xdr:cNvPr id="6" name="Straight Arrow Connector 5">
          <a:extLst>
            <a:ext uri="{FF2B5EF4-FFF2-40B4-BE49-F238E27FC236}">
              <a16:creationId xmlns:a16="http://schemas.microsoft.com/office/drawing/2014/main" id="{FCA21D9E-B3CC-E494-881A-8976ADA65AD0}"/>
            </a:ext>
          </a:extLst>
        </xdr:cNvPr>
        <xdr:cNvCxnSpPr/>
      </xdr:nvCxnSpPr>
      <xdr:spPr>
        <a:xfrm>
          <a:off x="13521963050" y="116332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273050</xdr:colOff>
      <xdr:row>89</xdr:row>
      <xdr:rowOff>123824</xdr:rowOff>
    </xdr:from>
    <xdr:ext cx="3033080" cy="484748"/>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4</xdr:col>
      <xdr:colOff>264645</xdr:colOff>
      <xdr:row>48</xdr:row>
      <xdr:rowOff>78394</xdr:rowOff>
    </xdr:from>
    <xdr:ext cx="3033080" cy="484748"/>
    <mc:AlternateContent xmlns:mc="http://schemas.openxmlformats.org/markup-compatibility/2006">
      <mc:Choice xmlns:a14="http://schemas.microsoft.com/office/drawing/2010/main" Requires="a14">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34206577" y="9976923"/>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34206577" y="9976923"/>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74946</xdr:colOff>
      <xdr:row>51</xdr:row>
      <xdr:rowOff>56446</xdr:rowOff>
    </xdr:from>
    <xdr:ext cx="3033080" cy="48474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r>
                      <a:rPr lang="he-IL" sz="1100" b="0" i="1">
                        <a:latin typeface="Cambria Math" panose="02040503050406030204" pitchFamily="18" charset="0"/>
                      </a:rPr>
                      <m:t>=114.04</m:t>
                    </m:r>
                  </m:oMath>
                </m:oMathPara>
              </a14:m>
              <a:endParaRPr lang="en-US" sz="1100"/>
            </a:p>
          </xdr:txBody>
        </xdr:sp>
      </mc:Choice>
      <mc:Fallback xmlns="">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=114.04</a:t>
              </a:r>
              <a:endParaRPr lang="en-US" sz="1100"/>
            </a:p>
          </xdr:txBody>
        </xdr:sp>
      </mc:Fallback>
    </mc:AlternateContent>
    <xdr:clientData/>
  </xdr:oneCellAnchor>
  <xdr:oneCellAnchor>
    <xdr:from>
      <xdr:col>3</xdr:col>
      <xdr:colOff>276853</xdr:colOff>
      <xdr:row>92</xdr:row>
      <xdr:rowOff>120021</xdr:rowOff>
    </xdr:from>
    <xdr:ext cx="3033080" cy="48474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r>
                      <a:rPr lang="he-IL" sz="1100" b="0" i="1">
                        <a:latin typeface="Cambria Math" panose="02040503050406030204" pitchFamily="18" charset="0"/>
                      </a:rPr>
                      <m:t>=112.46</m:t>
                    </m:r>
                  </m:oMath>
                </m:oMathPara>
              </a14:m>
              <a:endParaRPr lang="en-US" sz="1100"/>
            </a:p>
          </xdr:txBody>
        </xdr:sp>
      </mc:Choice>
      <mc:Fallback xmlns="">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=112.46</a:t>
              </a:r>
              <a:endParaRPr lang="en-US" sz="1100"/>
            </a:p>
          </xdr:txBody>
        </xdr:sp>
      </mc:Fallback>
    </mc:AlternateContent>
    <xdr:clientData/>
  </xdr:oneCellAnchor>
  <xdr:oneCellAnchor>
    <xdr:from>
      <xdr:col>2</xdr:col>
      <xdr:colOff>784624</xdr:colOff>
      <xdr:row>110</xdr:row>
      <xdr:rowOff>91961</xdr:rowOff>
    </xdr:from>
    <xdr:ext cx="2531430" cy="17370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he-IL" sz="1100" b="0" i="1">
                        <a:latin typeface="Cambria Math" panose="02040503050406030204" pitchFamily="18" charset="0"/>
                      </a:rPr>
                      <m:t>112.46</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2%</m:t>
                        </m:r>
                      </m:e>
                    </m:d>
                    <m:r>
                      <a:rPr lang="he-IL"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a:t>
              </a:r>
              <a:r>
                <a:rPr lang="he-IL" sz="1100" b="0" i="0">
                  <a:latin typeface="Cambria Math" panose="02040503050406030204" pitchFamily="18" charset="0"/>
                </a:rPr>
                <a:t>112.46</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720596</xdr:colOff>
      <xdr:row>154</xdr:row>
      <xdr:rowOff>145950</xdr:rowOff>
    </xdr:from>
    <xdr:ext cx="3275644" cy="17370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1</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2</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_1 )∗(1+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_2 )∗…−1</a:t>
              </a:r>
              <a:endParaRPr lang="en-US" sz="1100"/>
            </a:p>
          </xdr:txBody>
        </xdr:sp>
      </mc:Fallback>
    </mc:AlternateContent>
    <xdr:clientData/>
  </xdr:oneCellAnchor>
  <xdr:oneCellAnchor>
    <xdr:from>
      <xdr:col>3</xdr:col>
      <xdr:colOff>199060</xdr:colOff>
      <xdr:row>166</xdr:row>
      <xdr:rowOff>26514</xdr:rowOff>
    </xdr:from>
    <xdr:ext cx="3275644" cy="17716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1+14%</m:t>
                        </m:r>
                      </m:e>
                    </m:d>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1+12%</m:t>
                            </m:r>
                          </m:e>
                        </m:d>
                      </m:e>
                      <m:sup>
                        <m:r>
                          <a:rPr lang="he-IL" sz="1100" b="0" i="1">
                            <a:latin typeface="Cambria Math" panose="02040503050406030204" pitchFamily="18" charset="0"/>
                            <a:ea typeface="Cambria Math" panose="02040503050406030204" pitchFamily="18" charset="0"/>
                          </a:rPr>
                          <m:t>2</m:t>
                        </m:r>
                      </m:sup>
                    </m:sSup>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_(0..3)=(1+14%)∗(1+12%)^2−1=</a:t>
              </a:r>
              <a:endParaRPr lang="en-US" sz="1100"/>
            </a:p>
          </xdr:txBody>
        </xdr:sp>
      </mc:Fallback>
    </mc:AlternateContent>
    <xdr:clientData/>
  </xdr:oneCellAnchor>
  <xdr:twoCellAnchor editAs="oneCell">
    <xdr:from>
      <xdr:col>8</xdr:col>
      <xdr:colOff>519737</xdr:colOff>
      <xdr:row>195</xdr:row>
      <xdr:rowOff>201188</xdr:rowOff>
    </xdr:from>
    <xdr:to>
      <xdr:col>10</xdr:col>
      <xdr:colOff>13497</xdr:colOff>
      <xdr:row>202</xdr:row>
      <xdr:rowOff>56419</xdr:rowOff>
    </xdr:to>
    <xdr:pic>
      <xdr:nvPicPr>
        <xdr:cNvPr id="14" name="Picture 13">
          <a:extLst>
            <a:ext uri="{FF2B5EF4-FFF2-40B4-BE49-F238E27FC236}">
              <a16:creationId xmlns:a16="http://schemas.microsoft.com/office/drawing/2014/main" id="{F1403935-4AE8-76B9-F14F-68A253AED9BA}"/>
            </a:ext>
          </a:extLst>
        </xdr:cNvPr>
        <xdr:cNvPicPr>
          <a:picLocks noChangeAspect="1"/>
        </xdr:cNvPicPr>
      </xdr:nvPicPr>
      <xdr:blipFill>
        <a:blip xmlns:r="http://schemas.openxmlformats.org/officeDocument/2006/relationships" r:embed="rId1"/>
        <a:stretch>
          <a:fillRect/>
        </a:stretch>
      </xdr:blipFill>
      <xdr:spPr>
        <a:xfrm>
          <a:off x="13520155018" y="29692013"/>
          <a:ext cx="1145179" cy="1297079"/>
        </a:xfrm>
        <a:prstGeom prst="rect">
          <a:avLst/>
        </a:prstGeom>
      </xdr:spPr>
    </xdr:pic>
    <xdr:clientData/>
  </xdr:twoCellAnchor>
  <xdr:twoCellAnchor>
    <xdr:from>
      <xdr:col>10</xdr:col>
      <xdr:colOff>87586</xdr:colOff>
      <xdr:row>195</xdr:row>
      <xdr:rowOff>143323</xdr:rowOff>
    </xdr:from>
    <xdr:to>
      <xdr:col>11</xdr:col>
      <xdr:colOff>449875</xdr:colOff>
      <xdr:row>198</xdr:row>
      <xdr:rowOff>35830</xdr:rowOff>
    </xdr:to>
    <xdr:sp macro="" textlink="">
      <xdr:nvSpPr>
        <xdr:cNvPr id="15" name="Rectangular Callout 14">
          <a:extLst>
            <a:ext uri="{FF2B5EF4-FFF2-40B4-BE49-F238E27FC236}">
              <a16:creationId xmlns:a16="http://schemas.microsoft.com/office/drawing/2014/main" id="{29AC220F-4BEC-2D68-9C37-64BB34A98327}"/>
            </a:ext>
          </a:extLst>
        </xdr:cNvPr>
        <xdr:cNvSpPr/>
      </xdr:nvSpPr>
      <xdr:spPr>
        <a:xfrm>
          <a:off x="13492647210" y="29058715"/>
          <a:ext cx="1186395" cy="513573"/>
        </a:xfrm>
        <a:prstGeom prst="wedgeRectCallout">
          <a:avLst>
            <a:gd name="adj1" fmla="val 60355"/>
            <a:gd name="adj2" fmla="val 2817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בחרו</a:t>
          </a:r>
          <a:r>
            <a:rPr lang="he-IL" sz="1100" baseline="0"/>
            <a:t> בדרך הנוחה לכם לפתרון</a:t>
          </a:r>
          <a:endParaRPr lang="en-US" sz="1100"/>
        </a:p>
      </xdr:txBody>
    </xdr:sp>
    <xdr:clientData/>
  </xdr:twoCellAnchor>
  <xdr:twoCellAnchor>
    <xdr:from>
      <xdr:col>8</xdr:col>
      <xdr:colOff>3981</xdr:colOff>
      <xdr:row>196</xdr:row>
      <xdr:rowOff>87586</xdr:rowOff>
    </xdr:from>
    <xdr:to>
      <xdr:col>8</xdr:col>
      <xdr:colOff>519737</xdr:colOff>
      <xdr:row>199</xdr:row>
      <xdr:rowOff>11444</xdr:rowOff>
    </xdr:to>
    <xdr:cxnSp macro="">
      <xdr:nvCxnSpPr>
        <xdr:cNvPr id="17" name="Straight Arrow Connector 16">
          <a:extLst>
            <a:ext uri="{FF2B5EF4-FFF2-40B4-BE49-F238E27FC236}">
              <a16:creationId xmlns:a16="http://schemas.microsoft.com/office/drawing/2014/main" id="{DAAE91E6-0E21-B015-B50E-E3354C852156}"/>
            </a:ext>
          </a:extLst>
        </xdr:cNvPr>
        <xdr:cNvCxnSpPr>
          <a:endCxn id="14" idx="3"/>
        </xdr:cNvCxnSpPr>
      </xdr:nvCxnSpPr>
      <xdr:spPr>
        <a:xfrm flipH="1">
          <a:off x="13521300197" y="29779599"/>
          <a:ext cx="515756" cy="5609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804200</xdr:colOff>
      <xdr:row>199</xdr:row>
      <xdr:rowOff>11444</xdr:rowOff>
    </xdr:from>
    <xdr:to>
      <xdr:col>8</xdr:col>
      <xdr:colOff>519737</xdr:colOff>
      <xdr:row>200</xdr:row>
      <xdr:rowOff>155266</xdr:rowOff>
    </xdr:to>
    <xdr:cxnSp macro="">
      <xdr:nvCxnSpPr>
        <xdr:cNvPr id="18" name="Straight Arrow Connector 17">
          <a:extLst>
            <a:ext uri="{FF2B5EF4-FFF2-40B4-BE49-F238E27FC236}">
              <a16:creationId xmlns:a16="http://schemas.microsoft.com/office/drawing/2014/main" id="{2369D4C0-CE34-AB62-335B-AB2F88EA6BC5}"/>
            </a:ext>
          </a:extLst>
        </xdr:cNvPr>
        <xdr:cNvCxnSpPr>
          <a:endCxn id="14" idx="3"/>
        </xdr:cNvCxnSpPr>
      </xdr:nvCxnSpPr>
      <xdr:spPr>
        <a:xfrm flipH="1" flipV="1">
          <a:off x="13521300197" y="30340553"/>
          <a:ext cx="541247" cy="34501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7</xdr:col>
      <xdr:colOff>449874</xdr:colOff>
      <xdr:row>248</xdr:row>
      <xdr:rowOff>2627</xdr:rowOff>
    </xdr:from>
    <xdr:ext cx="2352008" cy="17370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sSub>
                          <m:sSubPr>
                            <m:ctrlPr>
                              <a:rPr lang="he-IL" sz="1100" b="0" i="1">
                                <a:latin typeface="Cambria Math" panose="02040503050406030204" pitchFamily="18" charset="0"/>
                                <a:ea typeface="Cambria Math" panose="02040503050406030204" pitchFamily="18" charset="0"/>
                              </a:rPr>
                            </m:ctrlPr>
                          </m:sSubPr>
                          <m:e>
                            <m:r>
                              <a:rPr lang="he-IL" sz="1100" b="0" i="1">
                                <a:latin typeface="Cambria Math" panose="02040503050406030204" pitchFamily="18" charset="0"/>
                                <a:ea typeface="Cambria Math" panose="02040503050406030204" pitchFamily="18" charset="0"/>
                              </a:rPr>
                              <m:t>1+</m:t>
                            </m:r>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4</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_4 )−1</a:t>
              </a:r>
              <a:endParaRPr lang="en-US" sz="1100"/>
            </a:p>
          </xdr:txBody>
        </xdr:sp>
      </mc:Fallback>
    </mc:AlternateContent>
    <xdr:clientData/>
  </xdr:oneCellAnchor>
  <xdr:oneCellAnchor>
    <xdr:from>
      <xdr:col>7</xdr:col>
      <xdr:colOff>485705</xdr:colOff>
      <xdr:row>250</xdr:row>
      <xdr:rowOff>98176</xdr:rowOff>
    </xdr:from>
    <xdr:ext cx="2352008" cy="17370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1+43%</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_(0..4)=(1+43%)∗(1+8%)−1=</a:t>
              </a:r>
              <a:endParaRPr lang="en-US" sz="1100"/>
            </a:p>
          </xdr:txBody>
        </xdr:sp>
      </mc:Fallback>
    </mc:AlternateContent>
    <xdr:clientData/>
  </xdr:oneCellAnchor>
  <xdr:twoCellAnchor editAs="oneCell">
    <xdr:from>
      <xdr:col>5</xdr:col>
      <xdr:colOff>424824</xdr:colOff>
      <xdr:row>231</xdr:row>
      <xdr:rowOff>161711</xdr:rowOff>
    </xdr:from>
    <xdr:to>
      <xdr:col>5</xdr:col>
      <xdr:colOff>622552</xdr:colOff>
      <xdr:row>233</xdr:row>
      <xdr:rowOff>17100</xdr:rowOff>
    </xdr:to>
    <xdr:pic>
      <xdr:nvPicPr>
        <xdr:cNvPr id="22" name="Picture 21">
          <a:extLst>
            <a:ext uri="{FF2B5EF4-FFF2-40B4-BE49-F238E27FC236}">
              <a16:creationId xmlns:a16="http://schemas.microsoft.com/office/drawing/2014/main" id="{C4BF517A-C5BD-0AE8-7805-A60F3F45EDD6}"/>
            </a:ext>
          </a:extLst>
        </xdr:cNvPr>
        <xdr:cNvPicPr>
          <a:picLocks noChangeAspect="1"/>
        </xdr:cNvPicPr>
      </xdr:nvPicPr>
      <xdr:blipFill>
        <a:blip xmlns:r="http://schemas.openxmlformats.org/officeDocument/2006/relationships" r:embed="rId2"/>
        <a:stretch>
          <a:fillRect/>
        </a:stretch>
      </xdr:blipFill>
      <xdr:spPr>
        <a:xfrm>
          <a:off x="13550058328" y="46914704"/>
          <a:ext cx="197728" cy="257854"/>
        </a:xfrm>
        <a:prstGeom prst="rect">
          <a:avLst/>
        </a:prstGeom>
      </xdr:spPr>
    </xdr:pic>
    <xdr:clientData/>
  </xdr:twoCellAnchor>
  <xdr:oneCellAnchor>
    <xdr:from>
      <xdr:col>4</xdr:col>
      <xdr:colOff>207023</xdr:colOff>
      <xdr:row>300</xdr:row>
      <xdr:rowOff>50401</xdr:rowOff>
    </xdr:from>
    <xdr:ext cx="1802602" cy="1805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𝑟_𝑒=(1+𝑟)^𝑛−1</a:t>
              </a:r>
              <a:endParaRPr lang="en-US" sz="1100"/>
            </a:p>
          </xdr:txBody>
        </xdr:sp>
      </mc:Fallback>
    </mc:AlternateContent>
    <xdr:clientData/>
  </xdr:oneCellAnchor>
  <xdr:oneCellAnchor>
    <xdr:from>
      <xdr:col>3</xdr:col>
      <xdr:colOff>414044</xdr:colOff>
      <xdr:row>302</xdr:row>
      <xdr:rowOff>62345</xdr:rowOff>
    </xdr:from>
    <xdr:ext cx="3073479" cy="3215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56</m:t>
                        </m:r>
                      </m:sup>
                    </m:sSup>
                    <m:r>
                      <a:rPr lang="en-US" sz="1100" b="0" i="1">
                        <a:latin typeface="Cambria Math" panose="02040503050406030204" pitchFamily="18" charset="0"/>
                      </a:rPr>
                      <m:t>−1≈203.1166%</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(4+8/12)=(1+2%)^56−1≈203.1166%</a:t>
              </a:r>
              <a:endParaRPr lang="en-US" sz="1100"/>
            </a:p>
          </xdr:txBody>
        </xdr:sp>
      </mc:Fallback>
    </mc:AlternateContent>
    <xdr:clientData/>
  </xdr:oneCellAnchor>
  <xdr:oneCellAnchor>
    <xdr:from>
      <xdr:col>2</xdr:col>
      <xdr:colOff>776335</xdr:colOff>
      <xdr:row>314</xdr:row>
      <xdr:rowOff>2627</xdr:rowOff>
    </xdr:from>
    <xdr:ext cx="3303511" cy="17716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1+7%</m:t>
                            </m:r>
                          </m:e>
                        </m:d>
                      </m:e>
                      <m:sup>
                        <m:r>
                          <a:rPr lang="he-IL" sz="1100" b="0" i="1">
                            <a:latin typeface="Cambria Math" panose="02040503050406030204" pitchFamily="18" charset="0"/>
                            <a:ea typeface="Cambria Math" panose="02040503050406030204" pitchFamily="18" charset="0"/>
                          </a:rPr>
                          <m:t>3</m:t>
                        </m:r>
                      </m:sup>
                    </m:sSup>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=(1+7%)^3∗(1+8%)∗(1+4%)−1=</a:t>
              </a:r>
              <a:endParaRPr lang="en-US" sz="1100"/>
            </a:p>
          </xdr:txBody>
        </xdr:sp>
      </mc:Fallback>
    </mc:AlternateContent>
    <xdr:clientData/>
  </xdr:oneCellAnchor>
  <xdr:oneCellAnchor>
    <xdr:from>
      <xdr:col>5</xdr:col>
      <xdr:colOff>441913</xdr:colOff>
      <xdr:row>319</xdr:row>
      <xdr:rowOff>201685</xdr:rowOff>
    </xdr:from>
    <xdr:ext cx="1758809" cy="17370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5</xdr:col>
      <xdr:colOff>617086</xdr:colOff>
      <xdr:row>321</xdr:row>
      <xdr:rowOff>173817</xdr:rowOff>
    </xdr:from>
    <xdr:ext cx="1758809" cy="320793"/>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a:t>
              </a:r>
              <a:endParaRPr lang="en-US" sz="1100"/>
            </a:p>
          </xdr:txBody>
        </xdr:sp>
      </mc:Fallback>
    </mc:AlternateContent>
    <xdr:clientData/>
  </xdr:oneCellAnchor>
  <xdr:oneCellAnchor>
    <xdr:from>
      <xdr:col>5</xdr:col>
      <xdr:colOff>652917</xdr:colOff>
      <xdr:row>324</xdr:row>
      <xdr:rowOff>122062</xdr:rowOff>
    </xdr:from>
    <xdr:ext cx="1758809" cy="324641"/>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r>
                          <a:rPr lang="he-IL" sz="1100" b="0" i="1">
                            <a:latin typeface="Cambria Math" panose="02040503050406030204" pitchFamily="18" charset="0"/>
                          </a:rPr>
                          <m:t>203.12%</m:t>
                        </m:r>
                      </m:num>
                      <m:den>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37.5968%</m:t>
                        </m:r>
                      </m:den>
                    </m:f>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a:t>
              </a:r>
              <a:r>
                <a:rPr lang="he-IL" sz="1100" b="0" i="0">
                  <a:latin typeface="Cambria Math" panose="02040503050406030204" pitchFamily="18" charset="0"/>
                </a:rPr>
                <a:t>203.12%</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37.5968%</a:t>
              </a:r>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3</xdr:col>
      <xdr:colOff>770768</xdr:colOff>
      <xdr:row>332</xdr:row>
      <xdr:rowOff>31400</xdr:rowOff>
    </xdr:from>
    <xdr:ext cx="3618027" cy="359329"/>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1+120.2958%</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(𝑎𝑛𝑛𝑢𝑎𝑙)=(1+120.2958%)^(1/(4+8/12))−1=</a:t>
              </a:r>
              <a:endParaRPr lang="en-US" sz="1100"/>
            </a:p>
          </xdr:txBody>
        </xdr:sp>
      </mc:Fallback>
    </mc:AlternateContent>
    <xdr:clientData/>
  </xdr:oneCellAnchor>
  <xdr:oneCellAnchor>
    <xdr:from>
      <xdr:col>2</xdr:col>
      <xdr:colOff>124239</xdr:colOff>
      <xdr:row>358</xdr:row>
      <xdr:rowOff>46657</xdr:rowOff>
    </xdr:from>
    <xdr:ext cx="2856315" cy="31803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340</m:t>
                        </m:r>
                      </m:num>
                      <m:den>
                        <m:r>
                          <a:rPr lang="en-US" sz="1100" b="0" i="1">
                            <a:latin typeface="Cambria Math" panose="02040503050406030204" pitchFamily="18" charset="0"/>
                          </a:rPr>
                          <m:t>300</m:t>
                        </m:r>
                      </m:den>
                    </m:f>
                    <m:r>
                      <a:rPr lang="en-US" sz="1100" b="0" i="1">
                        <a:latin typeface="Cambria Math" panose="02040503050406030204" pitchFamily="18" charset="0"/>
                      </a:rPr>
                      <m:t>−1=13.33%</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 𝑦𝑒𝑎𝑟𝑠)=340/300−1=13.33%</a:t>
              </a:r>
              <a:endParaRPr lang="en-US" sz="1100"/>
            </a:p>
          </xdr:txBody>
        </xdr:sp>
      </mc:Fallback>
    </mc:AlternateContent>
    <xdr:clientData/>
  </xdr:oneCellAnchor>
  <xdr:oneCellAnchor>
    <xdr:from>
      <xdr:col>2</xdr:col>
      <xdr:colOff>265733</xdr:colOff>
      <xdr:row>364</xdr:row>
      <xdr:rowOff>191602</xdr:rowOff>
    </xdr:from>
    <xdr:ext cx="2856315" cy="321498"/>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 </m:t>
                        </m:r>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315</m:t>
                        </m:r>
                      </m:num>
                      <m:den>
                        <m:r>
                          <a:rPr lang="en-US" sz="1100" b="0" i="1">
                            <a:latin typeface="Cambria Math" panose="02040503050406030204" pitchFamily="18" charset="0"/>
                          </a:rPr>
                          <m:t>300</m:t>
                        </m:r>
                      </m:den>
                    </m:f>
                    <m:r>
                      <a:rPr lang="en-US" sz="1100" b="0" i="1">
                        <a:latin typeface="Cambria Math" panose="02040503050406030204" pitchFamily="18" charset="0"/>
                      </a:rPr>
                      <m:t>−1=5%</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a:t>
              </a:r>
              <a:r>
                <a:rPr lang="he-IL" sz="1100" b="0" i="0">
                  <a:latin typeface="Cambria Math" panose="02040503050406030204" pitchFamily="18" charset="0"/>
                </a:rPr>
                <a:t> </a:t>
              </a:r>
              <a:r>
                <a:rPr lang="en-US" sz="1100" b="0" i="0">
                  <a:latin typeface="Cambria Math" panose="02040503050406030204" pitchFamily="18" charset="0"/>
                </a:rPr>
                <a:t>𝑟) (4 𝑦𝑒𝑎𝑟𝑠)=315/300−1=5%</a:t>
              </a:r>
              <a:endParaRPr lang="en-US" sz="1100"/>
            </a:p>
          </xdr:txBody>
        </xdr:sp>
      </mc:Fallback>
    </mc:AlternateContent>
    <xdr:clientData/>
  </xdr:oneCellAnchor>
  <xdr:oneCellAnchor>
    <xdr:from>
      <xdr:col>3</xdr:col>
      <xdr:colOff>17255</xdr:colOff>
      <xdr:row>369</xdr:row>
      <xdr:rowOff>100082</xdr:rowOff>
    </xdr:from>
    <xdr:ext cx="1758809" cy="17370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1</xdr:col>
      <xdr:colOff>741983</xdr:colOff>
      <xdr:row>370</xdr:row>
      <xdr:rowOff>172555</xdr:rowOff>
    </xdr:from>
    <xdr:ext cx="3187559" cy="17370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1+13.33%=</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=7.93648%</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1+13.33%=(1+5%)∗(1+</a:t>
              </a:r>
              <a:r>
                <a:rPr lang="en-US" sz="1100" b="0" i="0">
                  <a:latin typeface="Cambria Math" panose="02040503050406030204" pitchFamily="18" charset="0"/>
                  <a:ea typeface="Cambria Math" panose="02040503050406030204" pitchFamily="18" charset="0"/>
                </a:rPr>
                <a:t>𝜋)→𝜋=7.93648%</a:t>
              </a:r>
              <a:endParaRPr lang="en-US" sz="1100"/>
            </a:p>
          </xdr:txBody>
        </xdr:sp>
      </mc:Fallback>
    </mc:AlternateContent>
    <xdr:clientData/>
  </xdr:oneCellAnchor>
  <xdr:oneCellAnchor>
    <xdr:from>
      <xdr:col>2</xdr:col>
      <xdr:colOff>369266</xdr:colOff>
      <xdr:row>377</xdr:row>
      <xdr:rowOff>189810</xdr:rowOff>
    </xdr:from>
    <xdr:ext cx="3187559" cy="253339"/>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𝑎𝑛𝑛𝑢𝑎𝑙</m:t>
                        </m:r>
                      </m:sub>
                    </m:sSub>
                    <m:r>
                      <a:rPr lang="en-US" sz="1100" b="0" i="1">
                        <a:latin typeface="Cambria Math" panose="02040503050406030204" pitchFamily="18" charset="0"/>
                        <a:ea typeface="Cambria Math" panose="02040503050406030204" pitchFamily="18" charset="0"/>
                      </a:rPr>
                      <m:t>=</m:t>
                    </m:r>
                    <m:sSup>
                      <m:sSupPr>
                        <m:ctrlPr>
                          <a:rPr lang="en-US" sz="1100" b="0" i="1">
                            <a:latin typeface="Cambria Math" panose="02040503050406030204" pitchFamily="18" charset="0"/>
                            <a:ea typeface="Cambria Math" panose="02040503050406030204" pitchFamily="18" charset="0"/>
                          </a:rPr>
                        </m:ctrlPr>
                      </m:sSupPr>
                      <m:e>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1+7.93648%</m:t>
                            </m:r>
                          </m:e>
                        </m:d>
                      </m:e>
                      <m:sup>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4</m:t>
                            </m:r>
                          </m:den>
                        </m:f>
                      </m:sup>
                    </m:sSup>
                    <m:r>
                      <a:rPr lang="en-US"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𝜋_𝑎𝑛𝑛𝑢𝑎𝑙=(1+7.93648%)^(1/4)−1=</a:t>
              </a:r>
              <a:endParaRPr lang="en-US" sz="1100"/>
            </a:p>
          </xdr:txBody>
        </xdr:sp>
      </mc:Fallback>
    </mc:AlternateContent>
    <xdr:clientData/>
  </xdr:oneCellAnchor>
  <xdr:oneCellAnchor>
    <xdr:from>
      <xdr:col>2</xdr:col>
      <xdr:colOff>146463</xdr:colOff>
      <xdr:row>386</xdr:row>
      <xdr:rowOff>20707</xdr:rowOff>
    </xdr:from>
    <xdr:ext cx="3877777" cy="177164"/>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0..4</m:t>
                        </m:r>
                      </m:sub>
                    </m:sSub>
                    <m:r>
                      <a:rPr lang="en-US" sz="1100" b="0" i="1">
                        <a:latin typeface="Cambria Math" panose="02040503050406030204" pitchFamily="18" charset="0"/>
                        <a:ea typeface="Cambria Math" panose="02040503050406030204" pitchFamily="18" charset="0"/>
                      </a:rPr>
                      <m:t>=7.93648%=</m:t>
                    </m:r>
                    <m:sSup>
                      <m:sSupPr>
                        <m:ctrlPr>
                          <a:rPr lang="en-US" sz="1100" b="0" i="1">
                            <a:solidFill>
                              <a:srgbClr val="00B0F0"/>
                            </a:solidFill>
                            <a:latin typeface="Cambria Math" panose="02040503050406030204" pitchFamily="18" charset="0"/>
                            <a:ea typeface="Cambria Math" panose="02040503050406030204" pitchFamily="18" charset="0"/>
                          </a:rPr>
                        </m:ctrlPr>
                      </m:sSupPr>
                      <m:e>
                        <m:d>
                          <m:dPr>
                            <m:ctrlPr>
                              <a:rPr lang="en-US" sz="1100" b="0" i="1">
                                <a:solidFill>
                                  <a:srgbClr val="00B0F0"/>
                                </a:solidFill>
                                <a:latin typeface="Cambria Math" panose="02040503050406030204" pitchFamily="18" charset="0"/>
                                <a:ea typeface="Cambria Math" panose="02040503050406030204" pitchFamily="18" charset="0"/>
                              </a:rPr>
                            </m:ctrlPr>
                          </m:dPr>
                          <m:e>
                            <m:r>
                              <a:rPr lang="en-US" sz="1100" b="0" i="1">
                                <a:solidFill>
                                  <a:srgbClr val="00B0F0"/>
                                </a:solidFill>
                                <a:latin typeface="Cambria Math" panose="02040503050406030204" pitchFamily="18" charset="0"/>
                                <a:ea typeface="Cambria Math" panose="02040503050406030204" pitchFamily="18" charset="0"/>
                              </a:rPr>
                              <m:t>1+1%</m:t>
                            </m:r>
                          </m:e>
                        </m:d>
                      </m:e>
                      <m:sup>
                        <m:r>
                          <a:rPr lang="en-US" sz="1100" b="0" i="1">
                            <a:solidFill>
                              <a:srgbClr val="00B0F0"/>
                            </a:solidFill>
                            <a:latin typeface="Cambria Math" panose="02040503050406030204" pitchFamily="18" charset="0"/>
                            <a:ea typeface="Cambria Math" panose="02040503050406030204" pitchFamily="18" charset="0"/>
                          </a:rPr>
                          <m:t>3</m:t>
                        </m:r>
                      </m:sup>
                    </m:sSup>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r>
                      <a:rPr lang="en-US" sz="1100" b="0" i="1">
                        <a:solidFill>
                          <a:srgbClr val="FF0000"/>
                        </a:solidFill>
                        <a:latin typeface="Cambria Math" panose="02040503050406030204" pitchFamily="18" charset="0"/>
                        <a:ea typeface="Cambria Math" panose="02040503050406030204" pitchFamily="18" charset="0"/>
                      </a:rPr>
                      <m:t>−1</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         </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𝜋_(0..4)=7.93648%=</a:t>
              </a:r>
              <a:r>
                <a:rPr lang="en-US" sz="1100" b="0" i="0">
                  <a:solidFill>
                    <a:srgbClr val="00B0F0"/>
                  </a:solidFill>
                  <a:latin typeface="Cambria Math" panose="02040503050406030204" pitchFamily="18" charset="0"/>
                  <a:ea typeface="Cambria Math" panose="02040503050406030204" pitchFamily="18" charset="0"/>
                </a:rPr>
                <a:t>(1+1%)^3</a:t>
              </a:r>
              <a:r>
                <a:rPr lang="en-US" sz="1100" b="0" i="0">
                  <a:latin typeface="Cambria Math" panose="02040503050406030204" pitchFamily="18" charset="0"/>
                  <a:ea typeface="Cambria Math" panose="02040503050406030204" pitchFamily="18" charset="0"/>
                </a:rPr>
                <a:t>∗(1+𝜋_4 )</a:t>
              </a:r>
              <a:r>
                <a:rPr lang="en-US" sz="1100" b="0" i="0">
                  <a:solidFill>
                    <a:srgbClr val="FF0000"/>
                  </a:solidFill>
                  <a:latin typeface="Cambria Math" panose="02040503050406030204" pitchFamily="18" charset="0"/>
                  <a:ea typeface="Cambria Math" panose="02040503050406030204" pitchFamily="18" charset="0"/>
                </a:rPr>
                <a:t>−1</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twoCellAnchor>
    <xdr:from>
      <xdr:col>5</xdr:col>
      <xdr:colOff>573594</xdr:colOff>
      <xdr:row>234</xdr:row>
      <xdr:rowOff>170804</xdr:rowOff>
    </xdr:from>
    <xdr:to>
      <xdr:col>5</xdr:col>
      <xdr:colOff>635545</xdr:colOff>
      <xdr:row>235</xdr:row>
      <xdr:rowOff>159187</xdr:rowOff>
    </xdr:to>
    <xdr:sp macro="" textlink="">
      <xdr:nvSpPr>
        <xdr:cNvPr id="19" name="Down Arrow 18">
          <a:extLst>
            <a:ext uri="{FF2B5EF4-FFF2-40B4-BE49-F238E27FC236}">
              <a16:creationId xmlns:a16="http://schemas.microsoft.com/office/drawing/2014/main" id="{4DC64161-371B-5A95-F0F3-AD7707B3AAB1}"/>
            </a:ext>
          </a:extLst>
        </xdr:cNvPr>
        <xdr:cNvSpPr/>
      </xdr:nvSpPr>
      <xdr:spPr>
        <a:xfrm>
          <a:off x="13550045335" y="47527494"/>
          <a:ext cx="61951" cy="18961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158749</xdr:colOff>
      <xdr:row>235</xdr:row>
      <xdr:rowOff>34848</xdr:rowOff>
    </xdr:from>
    <xdr:to>
      <xdr:col>11</xdr:col>
      <xdr:colOff>220700</xdr:colOff>
      <xdr:row>236</xdr:row>
      <xdr:rowOff>23232</xdr:rowOff>
    </xdr:to>
    <xdr:sp macro="" textlink="">
      <xdr:nvSpPr>
        <xdr:cNvPr id="25" name="Down Arrow 24">
          <a:extLst>
            <a:ext uri="{FF2B5EF4-FFF2-40B4-BE49-F238E27FC236}">
              <a16:creationId xmlns:a16="http://schemas.microsoft.com/office/drawing/2014/main" id="{BBA46313-CF63-0EF8-63BB-747FA377F1AF}"/>
            </a:ext>
          </a:extLst>
        </xdr:cNvPr>
        <xdr:cNvSpPr/>
      </xdr:nvSpPr>
      <xdr:spPr>
        <a:xfrm>
          <a:off x="13503011708" y="34444878"/>
          <a:ext cx="61951" cy="1897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203040</xdr:colOff>
      <xdr:row>249</xdr:row>
      <xdr:rowOff>202386</xdr:rowOff>
    </xdr:from>
    <xdr:to>
      <xdr:col>3</xdr:col>
      <xdr:colOff>355782</xdr:colOff>
      <xdr:row>250</xdr:row>
      <xdr:rowOff>199059</xdr:rowOff>
    </xdr:to>
    <xdr:sp macro="" textlink="">
      <xdr:nvSpPr>
        <xdr:cNvPr id="37" name="Down Arrow 36">
          <a:extLst>
            <a:ext uri="{FF2B5EF4-FFF2-40B4-BE49-F238E27FC236}">
              <a16:creationId xmlns:a16="http://schemas.microsoft.com/office/drawing/2014/main" id="{886E5476-506B-BD65-C5FB-F909795F6C3F}"/>
            </a:ext>
          </a:extLst>
        </xdr:cNvPr>
        <xdr:cNvSpPr/>
      </xdr:nvSpPr>
      <xdr:spPr>
        <a:xfrm>
          <a:off x="13499334155" y="37096085"/>
          <a:ext cx="152742" cy="199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696708</xdr:colOff>
      <xdr:row>276</xdr:row>
      <xdr:rowOff>7308</xdr:rowOff>
    </xdr:from>
    <xdr:to>
      <xdr:col>8</xdr:col>
      <xdr:colOff>781769</xdr:colOff>
      <xdr:row>277</xdr:row>
      <xdr:rowOff>0</xdr:rowOff>
    </xdr:to>
    <xdr:sp macro="" textlink="">
      <xdr:nvSpPr>
        <xdr:cNvPr id="38" name="Down Arrow 37">
          <a:extLst>
            <a:ext uri="{FF2B5EF4-FFF2-40B4-BE49-F238E27FC236}">
              <a16:creationId xmlns:a16="http://schemas.microsoft.com/office/drawing/2014/main" id="{5B0EE663-5203-338D-97CC-19AB0EBFE0E3}"/>
            </a:ext>
          </a:extLst>
        </xdr:cNvPr>
        <xdr:cNvSpPr/>
      </xdr:nvSpPr>
      <xdr:spPr>
        <a:xfrm rot="1482273">
          <a:off x="13494787635" y="39134455"/>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79622</xdr:colOff>
      <xdr:row>276</xdr:row>
      <xdr:rowOff>3327</xdr:rowOff>
    </xdr:from>
    <xdr:to>
      <xdr:col>8</xdr:col>
      <xdr:colOff>164683</xdr:colOff>
      <xdr:row>276</xdr:row>
      <xdr:rowOff>199060</xdr:rowOff>
    </xdr:to>
    <xdr:sp macro="" textlink="">
      <xdr:nvSpPr>
        <xdr:cNvPr id="39" name="Down Arrow 38">
          <a:extLst>
            <a:ext uri="{FF2B5EF4-FFF2-40B4-BE49-F238E27FC236}">
              <a16:creationId xmlns:a16="http://schemas.microsoft.com/office/drawing/2014/main" id="{8391E62F-80B0-6D1E-9AD4-9221E51D0674}"/>
            </a:ext>
          </a:extLst>
        </xdr:cNvPr>
        <xdr:cNvSpPr/>
      </xdr:nvSpPr>
      <xdr:spPr>
        <a:xfrm rot="1482273">
          <a:off x="13495404721" y="39130474"/>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733425</xdr:colOff>
      <xdr:row>292</xdr:row>
      <xdr:rowOff>68262</xdr:rowOff>
    </xdr:from>
    <xdr:ext cx="2687005" cy="32810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1+203.1165%</m:t>
                        </m:r>
                      </m:num>
                      <m:den>
                        <m:r>
                          <a:rPr lang="en-US" sz="1100" b="0" i="1">
                            <a:latin typeface="Cambria Math" panose="02040503050406030204" pitchFamily="18" charset="0"/>
                          </a:rPr>
                          <m:t>1+37.5968%</m:t>
                        </m:r>
                      </m:den>
                    </m:f>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−1=(1+203.1165%)/(1+37.5968%)−1=</a:t>
              </a:r>
              <a:endParaRPr lang="en-US" sz="1100"/>
            </a:p>
          </xdr:txBody>
        </xdr:sp>
      </mc:Fallback>
    </mc:AlternateContent>
    <xdr:clientData/>
  </xdr:oneCellAnchor>
  <xdr:oneCellAnchor>
    <xdr:from>
      <xdr:col>4</xdr:col>
      <xdr:colOff>581026</xdr:colOff>
      <xdr:row>293</xdr:row>
      <xdr:rowOff>195261</xdr:rowOff>
    </xdr:from>
    <xdr:ext cx="4058605" cy="25487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en-US" sz="1100" b="0" i="1">
                            <a:latin typeface="Cambria Math" panose="02040503050406030204" pitchFamily="18" charset="0"/>
                          </a:rPr>
                          <m:t>𝑛</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1+120.2933%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56</m:t>
                            </m:r>
                          </m:den>
                        </m:f>
                      </m:sup>
                    </m:sSup>
                    <m:r>
                      <a:rPr lang="en-US" sz="1100" b="0" i="1">
                        <a:latin typeface="Cambria Math" panose="02040503050406030204" pitchFamily="18" charset="0"/>
                      </a:rPr>
                      <m:t>−1=18.441%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(𝑎𝑛𝑛𝑢𝑎𝑙)=(1+𝑟_𝑟 )^𝑛−1→(1+120.2933%)^(12/56)−1=18.441%</a:t>
              </a:r>
              <a:endParaRPr lang="en-US" sz="1100"/>
            </a:p>
          </xdr:txBody>
        </xdr:sp>
      </mc:Fallback>
    </mc:AlternateContent>
    <xdr:clientData/>
  </xdr:oneCellAnchor>
  <xdr:twoCellAnchor>
    <xdr:from>
      <xdr:col>5</xdr:col>
      <xdr:colOff>317499</xdr:colOff>
      <xdr:row>339</xdr:row>
      <xdr:rowOff>139699</xdr:rowOff>
    </xdr:from>
    <xdr:to>
      <xdr:col>7</xdr:col>
      <xdr:colOff>457199</xdr:colOff>
      <xdr:row>348</xdr:row>
      <xdr:rowOff>9524</xdr:rowOff>
    </xdr:to>
    <xdr:sp macro="" textlink="">
      <xdr:nvSpPr>
        <xdr:cNvPr id="42" name="Triangle 41">
          <a:extLst>
            <a:ext uri="{FF2B5EF4-FFF2-40B4-BE49-F238E27FC236}">
              <a16:creationId xmlns:a16="http://schemas.microsoft.com/office/drawing/2014/main" id="{0BC47582-895F-30FE-8325-F684C8B3EE2C}"/>
            </a:ext>
          </a:extLst>
        </xdr:cNvPr>
        <xdr:cNvSpPr/>
      </xdr:nvSpPr>
      <xdr:spPr>
        <a:xfrm>
          <a:off x="13518756301" y="52514499"/>
          <a:ext cx="2311400" cy="1698625"/>
        </a:xfrm>
        <a:prstGeom prs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574675</xdr:colOff>
      <xdr:row>346</xdr:row>
      <xdr:rowOff>107950</xdr:rowOff>
    </xdr:from>
    <xdr:to>
      <xdr:col>7</xdr:col>
      <xdr:colOff>127000</xdr:colOff>
      <xdr:row>347</xdr:row>
      <xdr:rowOff>152400</xdr:rowOff>
    </xdr:to>
    <xdr:sp macro="" textlink="">
      <xdr:nvSpPr>
        <xdr:cNvPr id="43" name="Rounded Rectangle 42">
          <a:extLst>
            <a:ext uri="{FF2B5EF4-FFF2-40B4-BE49-F238E27FC236}">
              <a16:creationId xmlns:a16="http://schemas.microsoft.com/office/drawing/2014/main" id="{F6D19A1E-0968-286F-F1AA-330645958CAC}"/>
            </a:ext>
          </a:extLst>
        </xdr:cNvPr>
        <xdr:cNvSpPr/>
      </xdr:nvSpPr>
      <xdr:spPr>
        <a:xfrm>
          <a:off x="13519086500" y="5390515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rn</a:t>
          </a:r>
        </a:p>
      </xdr:txBody>
    </xdr:sp>
    <xdr:clientData/>
  </xdr:twoCellAnchor>
  <xdr:twoCellAnchor>
    <xdr:from>
      <xdr:col>5</xdr:col>
      <xdr:colOff>663575</xdr:colOff>
      <xdr:row>346</xdr:row>
      <xdr:rowOff>88900</xdr:rowOff>
    </xdr:from>
    <xdr:to>
      <xdr:col>5</xdr:col>
      <xdr:colOff>1041400</xdr:colOff>
      <xdr:row>347</xdr:row>
      <xdr:rowOff>133350</xdr:rowOff>
    </xdr:to>
    <xdr:sp macro="" textlink="">
      <xdr:nvSpPr>
        <xdr:cNvPr id="45" name="Rounded Rectangle 44">
          <a:extLst>
            <a:ext uri="{FF2B5EF4-FFF2-40B4-BE49-F238E27FC236}">
              <a16:creationId xmlns:a16="http://schemas.microsoft.com/office/drawing/2014/main" id="{785E702F-0548-B6EA-251E-5A148717ABF7}"/>
            </a:ext>
          </a:extLst>
        </xdr:cNvPr>
        <xdr:cNvSpPr/>
      </xdr:nvSpPr>
      <xdr:spPr>
        <a:xfrm>
          <a:off x="13520343800" y="5388610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rr</a:t>
          </a:r>
        </a:p>
      </xdr:txBody>
    </xdr:sp>
    <xdr:clientData/>
  </xdr:twoCellAnchor>
  <xdr:twoCellAnchor>
    <xdr:from>
      <xdr:col>5</xdr:col>
      <xdr:colOff>1263649</xdr:colOff>
      <xdr:row>341</xdr:row>
      <xdr:rowOff>200024</xdr:rowOff>
    </xdr:from>
    <xdr:to>
      <xdr:col>6</xdr:col>
      <xdr:colOff>368299</xdr:colOff>
      <xdr:row>345</xdr:row>
      <xdr:rowOff>31749</xdr:rowOff>
    </xdr:to>
    <xdr:sp macro="" textlink="">
      <xdr:nvSpPr>
        <xdr:cNvPr id="46" name="Rounded Rectangle 45">
          <a:extLst>
            <a:ext uri="{FF2B5EF4-FFF2-40B4-BE49-F238E27FC236}">
              <a16:creationId xmlns:a16="http://schemas.microsoft.com/office/drawing/2014/main" id="{2B18713C-5576-684F-4EBE-DF6B399AD78B}"/>
            </a:ext>
          </a:extLst>
        </xdr:cNvPr>
        <xdr:cNvSpPr/>
      </xdr:nvSpPr>
      <xdr:spPr>
        <a:xfrm>
          <a:off x="13519670701" y="52981224"/>
          <a:ext cx="450850" cy="6445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אינפלציה</a:t>
          </a:r>
          <a:endParaRPr lang="en-US" sz="1100"/>
        </a:p>
      </xdr:txBody>
    </xdr:sp>
    <xdr:clientData/>
  </xdr:twoCellAnchor>
  <xdr:twoCellAnchor>
    <xdr:from>
      <xdr:col>4</xdr:col>
      <xdr:colOff>12700</xdr:colOff>
      <xdr:row>379</xdr:row>
      <xdr:rowOff>57150</xdr:rowOff>
    </xdr:from>
    <xdr:to>
      <xdr:col>4</xdr:col>
      <xdr:colOff>117475</xdr:colOff>
      <xdr:row>379</xdr:row>
      <xdr:rowOff>161925</xdr:rowOff>
    </xdr:to>
    <xdr:sp macro="" textlink="">
      <xdr:nvSpPr>
        <xdr:cNvPr id="47" name="Down Arrow 46">
          <a:extLst>
            <a:ext uri="{FF2B5EF4-FFF2-40B4-BE49-F238E27FC236}">
              <a16:creationId xmlns:a16="http://schemas.microsoft.com/office/drawing/2014/main" id="{F5ACA6F8-8364-336A-53F7-34EE0DF03E37}"/>
            </a:ext>
          </a:extLst>
        </xdr:cNvPr>
        <xdr:cNvSpPr/>
      </xdr:nvSpPr>
      <xdr:spPr>
        <a:xfrm>
          <a:off x="13522093225" y="6055995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469900</xdr:colOff>
      <xdr:row>377</xdr:row>
      <xdr:rowOff>63500</xdr:rowOff>
    </xdr:from>
    <xdr:to>
      <xdr:col>3</xdr:col>
      <xdr:colOff>574675</xdr:colOff>
      <xdr:row>377</xdr:row>
      <xdr:rowOff>168275</xdr:rowOff>
    </xdr:to>
    <xdr:sp macro="" textlink="">
      <xdr:nvSpPr>
        <xdr:cNvPr id="48" name="Down Arrow 47">
          <a:extLst>
            <a:ext uri="{FF2B5EF4-FFF2-40B4-BE49-F238E27FC236}">
              <a16:creationId xmlns:a16="http://schemas.microsoft.com/office/drawing/2014/main" id="{4CAFFE6F-2BE9-094F-3516-4252881F50F7}"/>
            </a:ext>
          </a:extLst>
        </xdr:cNvPr>
        <xdr:cNvSpPr/>
      </xdr:nvSpPr>
      <xdr:spPr>
        <a:xfrm rot="10800000">
          <a:off x="13522461525" y="6015990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701675</xdr:colOff>
      <xdr:row>387</xdr:row>
      <xdr:rowOff>19050</xdr:rowOff>
    </xdr:from>
    <xdr:to>
      <xdr:col>5</xdr:col>
      <xdr:colOff>825500</xdr:colOff>
      <xdr:row>388</xdr:row>
      <xdr:rowOff>12700</xdr:rowOff>
    </xdr:to>
    <xdr:sp macro="" textlink="">
      <xdr:nvSpPr>
        <xdr:cNvPr id="49" name="Down Arrow 48">
          <a:extLst>
            <a:ext uri="{FF2B5EF4-FFF2-40B4-BE49-F238E27FC236}">
              <a16:creationId xmlns:a16="http://schemas.microsoft.com/office/drawing/2014/main" id="{C077D0BD-C238-6857-6552-F9C78C86AECC}"/>
            </a:ext>
          </a:extLst>
        </xdr:cNvPr>
        <xdr:cNvSpPr/>
      </xdr:nvSpPr>
      <xdr:spPr>
        <a:xfrm>
          <a:off x="13520559700" y="62147450"/>
          <a:ext cx="123825" cy="1968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650875</xdr:colOff>
      <xdr:row>387</xdr:row>
      <xdr:rowOff>25400</xdr:rowOff>
    </xdr:from>
    <xdr:to>
      <xdr:col>4</xdr:col>
      <xdr:colOff>762000</xdr:colOff>
      <xdr:row>389</xdr:row>
      <xdr:rowOff>158750</xdr:rowOff>
    </xdr:to>
    <xdr:sp macro="" textlink="">
      <xdr:nvSpPr>
        <xdr:cNvPr id="50" name="Down Arrow 49">
          <a:extLst>
            <a:ext uri="{FF2B5EF4-FFF2-40B4-BE49-F238E27FC236}">
              <a16:creationId xmlns:a16="http://schemas.microsoft.com/office/drawing/2014/main" id="{593B8C2D-4363-DBF2-B5B6-5FCE95120B50}"/>
            </a:ext>
          </a:extLst>
        </xdr:cNvPr>
        <xdr:cNvSpPr/>
      </xdr:nvSpPr>
      <xdr:spPr>
        <a:xfrm>
          <a:off x="13521448700" y="62153800"/>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492125</xdr:colOff>
      <xdr:row>386</xdr:row>
      <xdr:rowOff>168275</xdr:rowOff>
    </xdr:from>
    <xdr:to>
      <xdr:col>3</xdr:col>
      <xdr:colOff>603250</xdr:colOff>
      <xdr:row>389</xdr:row>
      <xdr:rowOff>98425</xdr:rowOff>
    </xdr:to>
    <xdr:sp macro="" textlink="">
      <xdr:nvSpPr>
        <xdr:cNvPr id="51" name="Down Arrow 50">
          <a:extLst>
            <a:ext uri="{FF2B5EF4-FFF2-40B4-BE49-F238E27FC236}">
              <a16:creationId xmlns:a16="http://schemas.microsoft.com/office/drawing/2014/main" id="{FD9EB509-E243-211F-0DBF-6601B344954E}"/>
            </a:ext>
          </a:extLst>
        </xdr:cNvPr>
        <xdr:cNvSpPr/>
      </xdr:nvSpPr>
      <xdr:spPr>
        <a:xfrm rot="19517413">
          <a:off x="13522432950" y="62093475"/>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447675</xdr:colOff>
      <xdr:row>395</xdr:row>
      <xdr:rowOff>128586</xdr:rowOff>
    </xdr:from>
    <xdr:ext cx="2591754"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m:t>
                    </m:r>
                    <m:r>
                      <a:rPr lang="he-IL" sz="1100" b="0" i="1">
                        <a:latin typeface="Cambria Math" panose="02040503050406030204" pitchFamily="18" charset="0"/>
                      </a:rPr>
                      <m:t>+7.93648%=</m:t>
                    </m:r>
                    <m:r>
                      <a:rPr lang="he-IL" sz="1100" b="0" i="1">
                        <a:solidFill>
                          <a:srgbClr val="00B0F0"/>
                        </a:solidFill>
                        <a:latin typeface="Cambria Math" panose="02040503050406030204" pitchFamily="18" charset="0"/>
                      </a:rPr>
                      <m:t>1.030301</m:t>
                    </m:r>
                    <m:r>
                      <a:rPr lang="he-IL" sz="1100" b="0" i="1">
                        <a:latin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oMath>
                </m:oMathPara>
              </a14:m>
              <a:endParaRPr lang="en-US" sz="1100"/>
            </a:p>
          </xdr:txBody>
        </xdr:sp>
      </mc:Choice>
      <mc:Fallback xmlns="">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a:t>
              </a:r>
              <a:r>
                <a:rPr lang="he-IL" sz="1100" b="0" i="0">
                  <a:latin typeface="Cambria Math" panose="02040503050406030204" pitchFamily="18" charset="0"/>
                </a:rPr>
                <a:t>+7.93648%=</a:t>
              </a:r>
              <a:r>
                <a:rPr lang="he-IL" sz="1100" b="0" i="0">
                  <a:solidFill>
                    <a:srgbClr val="00B0F0"/>
                  </a:solidFill>
                  <a:latin typeface="Cambria Math" panose="02040503050406030204" pitchFamily="18" charset="0"/>
                </a:rPr>
                <a:t>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(1+𝜋_4 )</a:t>
              </a:r>
              <a:endParaRPr lang="en-US" sz="1100"/>
            </a:p>
          </xdr:txBody>
        </xdr:sp>
      </mc:Fallback>
    </mc:AlternateContent>
    <xdr:clientData/>
  </xdr:oneCellAnchor>
  <xdr:oneCellAnchor>
    <xdr:from>
      <xdr:col>3</xdr:col>
      <xdr:colOff>463550</xdr:colOff>
      <xdr:row>397</xdr:row>
      <xdr:rowOff>61911</xdr:rowOff>
    </xdr:from>
    <xdr:ext cx="2591754" cy="316882"/>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a:t>
              </a:r>
              <a:endParaRPr lang="en-US" sz="1100"/>
            </a:p>
          </xdr:txBody>
        </xdr:sp>
      </mc:Fallback>
    </mc:AlternateContent>
    <xdr:clientData/>
  </xdr:oneCellAnchor>
  <xdr:oneCellAnchor>
    <xdr:from>
      <xdr:col>3</xdr:col>
      <xdr:colOff>482600</xdr:colOff>
      <xdr:row>399</xdr:row>
      <xdr:rowOff>103186</xdr:rowOff>
    </xdr:from>
    <xdr:ext cx="2591754" cy="3168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solidFill>
                          <a:srgbClr val="FF0000"/>
                        </a:solidFill>
                        <a:latin typeface="Cambria Math" panose="02040503050406030204" pitchFamily="18" charset="0"/>
                      </a:rPr>
                      <m:t>−1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oneCellAnchor>
    <xdr:from>
      <xdr:col>3</xdr:col>
      <xdr:colOff>482600</xdr:colOff>
      <xdr:row>401</xdr:row>
      <xdr:rowOff>77786</xdr:rowOff>
    </xdr:from>
    <xdr:ext cx="2591754"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4.7621%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4.7621%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twoCellAnchor>
    <xdr:from>
      <xdr:col>2</xdr:col>
      <xdr:colOff>37491</xdr:colOff>
      <xdr:row>146</xdr:row>
      <xdr:rowOff>135903</xdr:rowOff>
    </xdr:from>
    <xdr:to>
      <xdr:col>4</xdr:col>
      <xdr:colOff>684208</xdr:colOff>
      <xdr:row>147</xdr:row>
      <xdr:rowOff>192140</xdr:rowOff>
    </xdr:to>
    <xdr:sp macro="" textlink="">
      <xdr:nvSpPr>
        <xdr:cNvPr id="3" name="Left Brace 2">
          <a:extLst>
            <a:ext uri="{FF2B5EF4-FFF2-40B4-BE49-F238E27FC236}">
              <a16:creationId xmlns:a16="http://schemas.microsoft.com/office/drawing/2014/main" id="{A73BFF40-2F42-4E52-5D8E-43ABDB648A44}"/>
            </a:ext>
          </a:extLst>
        </xdr:cNvPr>
        <xdr:cNvSpPr/>
      </xdr:nvSpPr>
      <xdr:spPr>
        <a:xfrm rot="16200000">
          <a:off x="13511030903" y="28649980"/>
          <a:ext cx="257750" cy="229631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810738</xdr:colOff>
      <xdr:row>155</xdr:row>
      <xdr:rowOff>182768</xdr:rowOff>
    </xdr:from>
    <xdr:to>
      <xdr:col>5</xdr:col>
      <xdr:colOff>815424</xdr:colOff>
      <xdr:row>158</xdr:row>
      <xdr:rowOff>84354</xdr:rowOff>
    </xdr:to>
    <xdr:cxnSp macro="">
      <xdr:nvCxnSpPr>
        <xdr:cNvPr id="44" name="Straight Arrow Connector 43">
          <a:extLst>
            <a:ext uri="{FF2B5EF4-FFF2-40B4-BE49-F238E27FC236}">
              <a16:creationId xmlns:a16="http://schemas.microsoft.com/office/drawing/2014/main" id="{140EB83E-B2CC-0BA0-0345-702A20399775}"/>
            </a:ext>
          </a:extLst>
        </xdr:cNvPr>
        <xdr:cNvCxnSpPr/>
      </xdr:nvCxnSpPr>
      <xdr:spPr>
        <a:xfrm>
          <a:off x="13509055609" y="31529742"/>
          <a:ext cx="4686" cy="5061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182767</xdr:colOff>
      <xdr:row>155</xdr:row>
      <xdr:rowOff>135904</xdr:rowOff>
    </xdr:from>
    <xdr:to>
      <xdr:col>5</xdr:col>
      <xdr:colOff>192140</xdr:colOff>
      <xdr:row>158</xdr:row>
      <xdr:rowOff>168708</xdr:rowOff>
    </xdr:to>
    <xdr:cxnSp macro="">
      <xdr:nvCxnSpPr>
        <xdr:cNvPr id="56" name="Straight Arrow Connector 55">
          <a:extLst>
            <a:ext uri="{FF2B5EF4-FFF2-40B4-BE49-F238E27FC236}">
              <a16:creationId xmlns:a16="http://schemas.microsoft.com/office/drawing/2014/main" id="{B90F8145-CC90-7680-D932-FCF4830CEEDA}"/>
            </a:ext>
          </a:extLst>
        </xdr:cNvPr>
        <xdr:cNvCxnSpPr/>
      </xdr:nvCxnSpPr>
      <xdr:spPr>
        <a:xfrm>
          <a:off x="13509678893" y="31482878"/>
          <a:ext cx="834170" cy="63734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388966</xdr:colOff>
      <xdr:row>155</xdr:row>
      <xdr:rowOff>121845</xdr:rowOff>
    </xdr:from>
    <xdr:to>
      <xdr:col>4</xdr:col>
      <xdr:colOff>365535</xdr:colOff>
      <xdr:row>159</xdr:row>
      <xdr:rowOff>9373</xdr:rowOff>
    </xdr:to>
    <xdr:cxnSp macro="">
      <xdr:nvCxnSpPr>
        <xdr:cNvPr id="58" name="Straight Arrow Connector 57">
          <a:extLst>
            <a:ext uri="{FF2B5EF4-FFF2-40B4-BE49-F238E27FC236}">
              <a16:creationId xmlns:a16="http://schemas.microsoft.com/office/drawing/2014/main" id="{62379F28-91B6-ABF7-C9F1-7625B2D7029D}"/>
            </a:ext>
          </a:extLst>
        </xdr:cNvPr>
        <xdr:cNvCxnSpPr/>
      </xdr:nvCxnSpPr>
      <xdr:spPr>
        <a:xfrm>
          <a:off x="13510330295" y="31468819"/>
          <a:ext cx="1626163" cy="69358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665461</xdr:colOff>
      <xdr:row>155</xdr:row>
      <xdr:rowOff>84354</xdr:rowOff>
    </xdr:from>
    <xdr:to>
      <xdr:col>3</xdr:col>
      <xdr:colOff>759189</xdr:colOff>
      <xdr:row>158</xdr:row>
      <xdr:rowOff>0</xdr:rowOff>
    </xdr:to>
    <xdr:cxnSp macro="">
      <xdr:nvCxnSpPr>
        <xdr:cNvPr id="60" name="Straight Arrow Connector 59">
          <a:extLst>
            <a:ext uri="{FF2B5EF4-FFF2-40B4-BE49-F238E27FC236}">
              <a16:creationId xmlns:a16="http://schemas.microsoft.com/office/drawing/2014/main" id="{F62CE553-89C2-442A-D672-0BA175B38587}"/>
            </a:ext>
          </a:extLst>
        </xdr:cNvPr>
        <xdr:cNvCxnSpPr/>
      </xdr:nvCxnSpPr>
      <xdr:spPr>
        <a:xfrm>
          <a:off x="13510761438" y="31431328"/>
          <a:ext cx="2568119" cy="52018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4</xdr:col>
      <xdr:colOff>90714</xdr:colOff>
      <xdr:row>184</xdr:row>
      <xdr:rowOff>192872</xdr:rowOff>
    </xdr:from>
    <xdr:to>
      <xdr:col>4</xdr:col>
      <xdr:colOff>612624</xdr:colOff>
      <xdr:row>187</xdr:row>
      <xdr:rowOff>159656</xdr:rowOff>
    </xdr:to>
    <xdr:pic>
      <xdr:nvPicPr>
        <xdr:cNvPr id="62" name="Picture 61">
          <a:extLst>
            <a:ext uri="{FF2B5EF4-FFF2-40B4-BE49-F238E27FC236}">
              <a16:creationId xmlns:a16="http://schemas.microsoft.com/office/drawing/2014/main" id="{44658C0D-BB82-B6D0-411E-ADD379F54DFA}"/>
            </a:ext>
          </a:extLst>
        </xdr:cNvPr>
        <xdr:cNvPicPr>
          <a:picLocks noChangeAspect="1"/>
        </xdr:cNvPicPr>
      </xdr:nvPicPr>
      <xdr:blipFill>
        <a:blip xmlns:r="http://schemas.openxmlformats.org/officeDocument/2006/relationships" r:embed="rId3"/>
        <a:stretch>
          <a:fillRect/>
        </a:stretch>
      </xdr:blipFill>
      <xdr:spPr>
        <a:xfrm>
          <a:off x="13571127471" y="36914015"/>
          <a:ext cx="521910" cy="583641"/>
        </a:xfrm>
        <a:prstGeom prst="rect">
          <a:avLst/>
        </a:prstGeom>
      </xdr:spPr>
    </xdr:pic>
    <xdr:clientData/>
  </xdr:twoCellAnchor>
  <xdr:twoCellAnchor>
    <xdr:from>
      <xdr:col>5</xdr:col>
      <xdr:colOff>1035050</xdr:colOff>
      <xdr:row>186</xdr:row>
      <xdr:rowOff>57150</xdr:rowOff>
    </xdr:from>
    <xdr:to>
      <xdr:col>6</xdr:col>
      <xdr:colOff>749300</xdr:colOff>
      <xdr:row>188</xdr:row>
      <xdr:rowOff>133350</xdr:rowOff>
    </xdr:to>
    <xdr:cxnSp macro="">
      <xdr:nvCxnSpPr>
        <xdr:cNvPr id="64" name="Straight Arrow Connector 63">
          <a:extLst>
            <a:ext uri="{FF2B5EF4-FFF2-40B4-BE49-F238E27FC236}">
              <a16:creationId xmlns:a16="http://schemas.microsoft.com/office/drawing/2014/main" id="{BA7AD76A-1259-B95B-BD51-70077886D567}"/>
            </a:ext>
          </a:extLst>
        </xdr:cNvPr>
        <xdr:cNvCxnSpPr/>
      </xdr:nvCxnSpPr>
      <xdr:spPr>
        <a:xfrm flipH="1">
          <a:off x="13519289700" y="37979350"/>
          <a:ext cx="1060450" cy="4826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5</xdr:col>
      <xdr:colOff>0</xdr:colOff>
      <xdr:row>205</xdr:row>
      <xdr:rowOff>0</xdr:rowOff>
    </xdr:from>
    <xdr:ext cx="3033080" cy="484748"/>
    <mc:AlternateContent xmlns:mc="http://schemas.openxmlformats.org/markup-compatibility/2006">
      <mc:Choice xmlns:a14="http://schemas.microsoft.com/office/drawing/2010/main" Requires="a14">
        <xdr:sp macro="" textlink="">
          <xdr:nvSpPr>
            <xdr:cNvPr id="65" name="TextBox 64">
              <a:extLst>
                <a:ext uri="{FF2B5EF4-FFF2-40B4-BE49-F238E27FC236}">
                  <a16:creationId xmlns:a16="http://schemas.microsoft.com/office/drawing/2014/main" id="{11A1FA80-FCA9-5043-BBC7-2844529BECE0}"/>
                </a:ext>
              </a:extLst>
            </xdr:cNvPr>
            <xdr:cNvSpPr txBox="1"/>
          </xdr:nvSpPr>
          <xdr:spPr>
            <a:xfrm>
              <a:off x="13518352120" y="41884600"/>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=10∗</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4%</m:t>
                                    </m:r>
                                  </m:e>
                                </m:d>
                              </m:e>
                              <m:sup>
                                <m:r>
                                  <a:rPr lang="he-IL" sz="1100" b="0" i="1">
                                    <a:latin typeface="Cambria Math" panose="02040503050406030204" pitchFamily="18" charset="0"/>
                                  </a:rPr>
                                  <m:t>7</m:t>
                                </m:r>
                              </m:sup>
                            </m:sSup>
                          </m:den>
                        </m:f>
                      </m:num>
                      <m:den>
                        <m:r>
                          <a:rPr lang="he-IL" sz="1100" b="0" i="1">
                            <a:latin typeface="Cambria Math" panose="02040503050406030204" pitchFamily="18" charset="0"/>
                          </a:rPr>
                          <m:t>4%</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solidFill>
                              <a:srgbClr val="FF0000"/>
                            </a:solidFill>
                            <a:latin typeface="Cambria Math" panose="02040503050406030204" pitchFamily="18" charset="0"/>
                          </a:rPr>
                          <m:t>143</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4%</m:t>
                                </m:r>
                              </m:e>
                            </m:d>
                          </m:e>
                          <m:sup>
                            <m:r>
                              <a:rPr lang="he-IL" sz="1100" b="0" i="1">
                                <a:latin typeface="Cambria Math" panose="02040503050406030204" pitchFamily="18" charset="0"/>
                              </a:rPr>
                              <m:t>7</m:t>
                            </m:r>
                          </m:sup>
                        </m:sSup>
                      </m:den>
                    </m:f>
                    <m:r>
                      <a:rPr lang="he-IL" sz="1100" b="0" i="1">
                        <a:latin typeface="Cambria Math" panose="02040503050406030204" pitchFamily="18" charset="0"/>
                      </a:rPr>
                      <m:t>=168.75</m:t>
                    </m:r>
                  </m:oMath>
                </m:oMathPara>
              </a14:m>
              <a:endParaRPr lang="en-US" sz="1100"/>
            </a:p>
          </xdr:txBody>
        </xdr:sp>
      </mc:Choice>
      <mc:Fallback>
        <xdr:sp macro="" textlink="">
          <xdr:nvSpPr>
            <xdr:cNvPr id="65" name="TextBox 64">
              <a:extLst>
                <a:ext uri="{FF2B5EF4-FFF2-40B4-BE49-F238E27FC236}">
                  <a16:creationId xmlns:a16="http://schemas.microsoft.com/office/drawing/2014/main" id="{11A1FA80-FCA9-5043-BBC7-2844529BECE0}"/>
                </a:ext>
              </a:extLst>
            </xdr:cNvPr>
            <xdr:cNvSpPr txBox="1"/>
          </xdr:nvSpPr>
          <xdr:spPr>
            <a:xfrm>
              <a:off x="13518352120" y="41884600"/>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solidFill>
                    <a:srgbClr val="FF0000"/>
                  </a:solidFill>
                  <a:latin typeface="Cambria Math" panose="02040503050406030204" pitchFamily="18" charset="0"/>
                </a:rPr>
                <a:t>10</a:t>
              </a:r>
              <a:r>
                <a:rPr lang="en-US" sz="1100" b="0" i="0">
                  <a:latin typeface="Cambria Math" panose="02040503050406030204" pitchFamily="18" charset="0"/>
                </a:rPr>
                <a:t>∗(1−1/(1+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7 </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143</a:t>
              </a:r>
              <a:r>
                <a:rPr lang="en-US" sz="1100" b="0" i="0">
                  <a:solidFill>
                    <a:srgbClr val="FF0000"/>
                  </a:solidFill>
                  <a:latin typeface="Cambria Math" panose="02040503050406030204" pitchFamily="18" charset="0"/>
                </a:rPr>
                <a:t>/(</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7 =168.75</a:t>
              </a:r>
              <a:endParaRPr lang="en-US" sz="1100"/>
            </a:p>
          </xdr:txBody>
        </xdr:sp>
      </mc:Fallback>
    </mc:AlternateContent>
    <xdr:clientData/>
  </xdr:oneCellAnchor>
  <xdr:oneCellAnchor>
    <xdr:from>
      <xdr:col>4</xdr:col>
      <xdr:colOff>0</xdr:colOff>
      <xdr:row>223</xdr:row>
      <xdr:rowOff>201232</xdr:rowOff>
    </xdr:from>
    <xdr:ext cx="3275644" cy="177164"/>
    <mc:AlternateContent xmlns:mc="http://schemas.openxmlformats.org/markup-compatibility/2006">
      <mc:Choice xmlns:a14="http://schemas.microsoft.com/office/drawing/2010/main" Requires="a14">
        <xdr:sp macro="" textlink="">
          <xdr:nvSpPr>
            <xdr:cNvPr id="67" name="TextBox 66">
              <a:extLst>
                <a:ext uri="{FF2B5EF4-FFF2-40B4-BE49-F238E27FC236}">
                  <a16:creationId xmlns:a16="http://schemas.microsoft.com/office/drawing/2014/main" id="{2682AA14-DBD3-7943-8306-3452E394CD74}"/>
                </a:ext>
              </a:extLst>
            </xdr:cNvPr>
            <xdr:cNvSpPr txBox="1"/>
          </xdr:nvSpPr>
          <xdr:spPr>
            <a:xfrm>
              <a:off x="13548232525" y="45344366"/>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m:t>
                        </m:r>
                        <m:r>
                          <a:rPr lang="en-US" sz="1100" b="0" i="1">
                            <a:latin typeface="Cambria Math" panose="02040503050406030204" pitchFamily="18" charset="0"/>
                            <a:ea typeface="Cambria Math" panose="02040503050406030204" pitchFamily="18" charset="0"/>
                          </a:rPr>
                          <m:t>4</m:t>
                        </m:r>
                      </m:sub>
                    </m:sSub>
                    <m:r>
                      <a:rPr lang="he-IL"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sSub>
                          <m:sSubPr>
                            <m:ctrlPr>
                              <a:rPr lang="he-IL"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1+</m:t>
                            </m:r>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m:t>
                            </m:r>
                            <m:r>
                              <a:rPr lang="en-US" sz="1100" b="0" i="1">
                                <a:latin typeface="Cambria Math" panose="02040503050406030204" pitchFamily="18" charset="0"/>
                                <a:ea typeface="Cambria Math" panose="02040503050406030204" pitchFamily="18" charset="0"/>
                              </a:rPr>
                              <m:t>3</m:t>
                            </m:r>
                          </m:sub>
                        </m:sSub>
                      </m:e>
                    </m:d>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4</m:t>
                            </m:r>
                          </m:sub>
                        </m:sSub>
                      </m:e>
                    </m:d>
                    <m:r>
                      <a:rPr lang="en-US" sz="1100" b="0" i="1">
                        <a:latin typeface="Cambria Math" panose="02040503050406030204" pitchFamily="18" charset="0"/>
                        <a:ea typeface="Cambria Math" panose="02040503050406030204" pitchFamily="18" charset="0"/>
                      </a:rPr>
                      <m:t>−1=</m:t>
                    </m:r>
                  </m:oMath>
                </m:oMathPara>
              </a14:m>
              <a:endParaRPr lang="en-US" sz="1100"/>
            </a:p>
          </xdr:txBody>
        </xdr:sp>
      </mc:Choice>
      <mc:Fallback>
        <xdr:sp macro="" textlink="">
          <xdr:nvSpPr>
            <xdr:cNvPr id="67" name="TextBox 66">
              <a:extLst>
                <a:ext uri="{FF2B5EF4-FFF2-40B4-BE49-F238E27FC236}">
                  <a16:creationId xmlns:a16="http://schemas.microsoft.com/office/drawing/2014/main" id="{2682AA14-DBD3-7943-8306-3452E394CD74}"/>
                </a:ext>
              </a:extLst>
            </xdr:cNvPr>
            <xdr:cNvSpPr txBox="1"/>
          </xdr:nvSpPr>
          <xdr:spPr>
            <a:xfrm>
              <a:off x="13548232525" y="45344366"/>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a:t>
              </a:r>
              <a:r>
                <a:rPr lang="en-US" sz="1100" b="0" i="0">
                  <a:latin typeface="Cambria Math" panose="02040503050406030204" pitchFamily="18" charset="0"/>
                  <a:ea typeface="Cambria Math" panose="02040503050406030204" pitchFamily="18" charset="0"/>
                </a:rPr>
                <a:t>4</a:t>
              </a:r>
              <a:r>
                <a:rPr lang="he-IL"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a:t>
              </a:r>
              <a:r>
                <a:rPr lang="en-US" sz="1100" b="0" i="0">
                  <a:latin typeface="Cambria Math" panose="02040503050406030204" pitchFamily="18" charset="0"/>
                  <a:ea typeface="Cambria Math" panose="02040503050406030204" pitchFamily="18" charset="0"/>
                </a:rPr>
                <a:t>3</a:t>
              </a:r>
              <a:r>
                <a:rPr lang="he-IL"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a:t>
              </a:r>
              <a:r>
                <a:rPr lang="en-US" sz="1100" b="0" i="0">
                  <a:latin typeface="Cambria Math" panose="02040503050406030204" pitchFamily="18" charset="0"/>
                  <a:ea typeface="Cambria Math" panose="02040503050406030204" pitchFamily="18" charset="0"/>
                </a:rPr>
                <a:t>4 )−1=</a:t>
              </a:r>
              <a:endParaRPr lang="en-US" sz="1100"/>
            </a:p>
          </xdr:txBody>
        </xdr:sp>
      </mc:Fallback>
    </mc:AlternateContent>
    <xdr:clientData/>
  </xdr:oneCellAnchor>
  <xdr:oneCellAnchor>
    <xdr:from>
      <xdr:col>4</xdr:col>
      <xdr:colOff>26831</xdr:colOff>
      <xdr:row>225</xdr:row>
      <xdr:rowOff>58134</xdr:rowOff>
    </xdr:from>
    <xdr:ext cx="3275644" cy="177164"/>
    <mc:AlternateContent xmlns:mc="http://schemas.openxmlformats.org/markup-compatibility/2006">
      <mc:Choice xmlns:a14="http://schemas.microsoft.com/office/drawing/2010/main" Requires="a14">
        <xdr:sp macro="" textlink="">
          <xdr:nvSpPr>
            <xdr:cNvPr id="68" name="TextBox 67">
              <a:extLst>
                <a:ext uri="{FF2B5EF4-FFF2-40B4-BE49-F238E27FC236}">
                  <a16:creationId xmlns:a16="http://schemas.microsoft.com/office/drawing/2014/main" id="{E4111734-D956-F10B-7F38-5719835C23A6}"/>
                </a:ext>
              </a:extLst>
            </xdr:cNvPr>
            <xdr:cNvSpPr txBox="1"/>
          </xdr:nvSpPr>
          <xdr:spPr>
            <a:xfrm>
              <a:off x="13548205694" y="45603733"/>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m:t>
                        </m:r>
                        <m:r>
                          <a:rPr lang="en-US" sz="1100" b="0" i="1">
                            <a:latin typeface="Cambria Math" panose="02040503050406030204" pitchFamily="18" charset="0"/>
                            <a:ea typeface="Cambria Math" panose="02040503050406030204" pitchFamily="18" charset="0"/>
                          </a:rPr>
                          <m:t>4</m:t>
                        </m:r>
                      </m:sub>
                    </m:sSub>
                    <m:r>
                      <a:rPr lang="he-IL"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1+43%</m:t>
                        </m:r>
                      </m:e>
                    </m:d>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1+8%</m:t>
                        </m:r>
                      </m:e>
                    </m:d>
                    <m:r>
                      <a:rPr lang="en-US" sz="1100" b="0" i="1">
                        <a:latin typeface="Cambria Math" panose="02040503050406030204" pitchFamily="18" charset="0"/>
                        <a:ea typeface="Cambria Math" panose="02040503050406030204" pitchFamily="18" charset="0"/>
                      </a:rPr>
                      <m:t>−1=</m:t>
                    </m:r>
                  </m:oMath>
                </m:oMathPara>
              </a14:m>
              <a:endParaRPr lang="en-US" sz="1100"/>
            </a:p>
          </xdr:txBody>
        </xdr:sp>
      </mc:Choice>
      <mc:Fallback>
        <xdr:sp macro="" textlink="">
          <xdr:nvSpPr>
            <xdr:cNvPr id="68" name="TextBox 67">
              <a:extLst>
                <a:ext uri="{FF2B5EF4-FFF2-40B4-BE49-F238E27FC236}">
                  <a16:creationId xmlns:a16="http://schemas.microsoft.com/office/drawing/2014/main" id="{E4111734-D956-F10B-7F38-5719835C23A6}"/>
                </a:ext>
              </a:extLst>
            </xdr:cNvPr>
            <xdr:cNvSpPr txBox="1"/>
          </xdr:nvSpPr>
          <xdr:spPr>
            <a:xfrm>
              <a:off x="13548205694" y="45603733"/>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a:t>
              </a:r>
              <a:r>
                <a:rPr lang="en-US" sz="1100" b="0" i="0">
                  <a:latin typeface="Cambria Math" panose="02040503050406030204" pitchFamily="18" charset="0"/>
                  <a:ea typeface="Cambria Math" panose="02040503050406030204" pitchFamily="18" charset="0"/>
                </a:rPr>
                <a:t>4</a:t>
              </a:r>
              <a:r>
                <a:rPr lang="he-IL"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(1+43%)∗(1+8%)−1=</a:t>
              </a:r>
              <a:endParaRPr lang="en-US" sz="1100"/>
            </a:p>
          </xdr:txBody>
        </xdr:sp>
      </mc:Fallback>
    </mc:AlternateContent>
    <xdr:clientData/>
  </xdr:oneCellAnchor>
</xdr:wsDr>
</file>

<file path=xl/drawings/drawing7.xml><?xml version="1.0" encoding="utf-8"?>
<xdr:wsDr xmlns:xdr="http://schemas.openxmlformats.org/drawingml/2006/spreadsheetDrawing" xmlns:a="http://schemas.openxmlformats.org/drawingml/2006/main">
  <xdr:twoCellAnchor editAs="oneCell">
    <xdr:from>
      <xdr:col>0</xdr:col>
      <xdr:colOff>3825</xdr:colOff>
      <xdr:row>3</xdr:row>
      <xdr:rowOff>16228</xdr:rowOff>
    </xdr:from>
    <xdr:to>
      <xdr:col>7</xdr:col>
      <xdr:colOff>696205</xdr:colOff>
      <xdr:row>11</xdr:row>
      <xdr:rowOff>111403</xdr:rowOff>
    </xdr:to>
    <xdr:pic>
      <xdr:nvPicPr>
        <xdr:cNvPr id="2" name="Picture 1">
          <a:extLst>
            <a:ext uri="{FF2B5EF4-FFF2-40B4-BE49-F238E27FC236}">
              <a16:creationId xmlns:a16="http://schemas.microsoft.com/office/drawing/2014/main" id="{5FF1B323-CDB9-4011-09EA-A585403DDCF8}"/>
            </a:ext>
          </a:extLst>
        </xdr:cNvPr>
        <xdr:cNvPicPr>
          <a:picLocks noChangeAspect="1"/>
        </xdr:cNvPicPr>
      </xdr:nvPicPr>
      <xdr:blipFill>
        <a:blip xmlns:r="http://schemas.openxmlformats.org/officeDocument/2006/relationships" r:embed="rId1"/>
        <a:stretch>
          <a:fillRect/>
        </a:stretch>
      </xdr:blipFill>
      <xdr:spPr>
        <a:xfrm>
          <a:off x="13531046687" y="647403"/>
          <a:ext cx="6476235" cy="1717102"/>
        </a:xfrm>
        <a:prstGeom prst="rect">
          <a:avLst/>
        </a:prstGeom>
      </xdr:spPr>
    </xdr:pic>
    <xdr:clientData/>
  </xdr:twoCellAnchor>
  <xdr:twoCellAnchor editAs="oneCell">
    <xdr:from>
      <xdr:col>0</xdr:col>
      <xdr:colOff>53087</xdr:colOff>
      <xdr:row>24</xdr:row>
      <xdr:rowOff>159260</xdr:rowOff>
    </xdr:from>
    <xdr:to>
      <xdr:col>7</xdr:col>
      <xdr:colOff>477780</xdr:colOff>
      <xdr:row>34</xdr:row>
      <xdr:rowOff>86202</xdr:rowOff>
    </xdr:to>
    <xdr:pic>
      <xdr:nvPicPr>
        <xdr:cNvPr id="3" name="Picture 2">
          <a:extLst>
            <a:ext uri="{FF2B5EF4-FFF2-40B4-BE49-F238E27FC236}">
              <a16:creationId xmlns:a16="http://schemas.microsoft.com/office/drawing/2014/main" id="{45101045-32F9-ECA3-3A33-B457D2B7C63F}"/>
            </a:ext>
          </a:extLst>
        </xdr:cNvPr>
        <xdr:cNvPicPr>
          <a:picLocks noChangeAspect="1"/>
        </xdr:cNvPicPr>
      </xdr:nvPicPr>
      <xdr:blipFill>
        <a:blip xmlns:r="http://schemas.openxmlformats.org/officeDocument/2006/relationships" r:embed="rId2"/>
        <a:stretch>
          <a:fillRect/>
        </a:stretch>
      </xdr:blipFill>
      <xdr:spPr>
        <a:xfrm>
          <a:off x="13508704149" y="5084083"/>
          <a:ext cx="6198905" cy="1968743"/>
        </a:xfrm>
        <a:prstGeom prst="rect">
          <a:avLst/>
        </a:prstGeom>
      </xdr:spPr>
    </xdr:pic>
    <xdr:clientData/>
  </xdr:twoCellAnchor>
  <xdr:twoCellAnchor editAs="oneCell">
    <xdr:from>
      <xdr:col>0</xdr:col>
      <xdr:colOff>1</xdr:colOff>
      <xdr:row>71</xdr:row>
      <xdr:rowOff>54429</xdr:rowOff>
    </xdr:from>
    <xdr:to>
      <xdr:col>7</xdr:col>
      <xdr:colOff>373744</xdr:colOff>
      <xdr:row>80</xdr:row>
      <xdr:rowOff>136160</xdr:rowOff>
    </xdr:to>
    <xdr:pic>
      <xdr:nvPicPr>
        <xdr:cNvPr id="4" name="Picture 3">
          <a:extLst>
            <a:ext uri="{FF2B5EF4-FFF2-40B4-BE49-F238E27FC236}">
              <a16:creationId xmlns:a16="http://schemas.microsoft.com/office/drawing/2014/main" id="{C5435DF9-DDAD-4F31-51AB-24CE2722ADC8}"/>
            </a:ext>
          </a:extLst>
        </xdr:cNvPr>
        <xdr:cNvPicPr>
          <a:picLocks noChangeAspect="1"/>
        </xdr:cNvPicPr>
      </xdr:nvPicPr>
      <xdr:blipFill>
        <a:blip xmlns:r="http://schemas.openxmlformats.org/officeDocument/2006/relationships" r:embed="rId3"/>
        <a:stretch>
          <a:fillRect/>
        </a:stretch>
      </xdr:blipFill>
      <xdr:spPr>
        <a:xfrm>
          <a:off x="13548552313" y="14510658"/>
          <a:ext cx="6164943" cy="1910531"/>
        </a:xfrm>
        <a:prstGeom prst="rect">
          <a:avLst/>
        </a:prstGeom>
      </xdr:spPr>
    </xdr:pic>
    <xdr:clientData/>
  </xdr:twoCellAnchor>
  <xdr:twoCellAnchor editAs="oneCell">
    <xdr:from>
      <xdr:col>0</xdr:col>
      <xdr:colOff>105229</xdr:colOff>
      <xdr:row>56</xdr:row>
      <xdr:rowOff>199571</xdr:rowOff>
    </xdr:from>
    <xdr:to>
      <xdr:col>7</xdr:col>
      <xdr:colOff>696686</xdr:colOff>
      <xdr:row>62</xdr:row>
      <xdr:rowOff>114637</xdr:rowOff>
    </xdr:to>
    <xdr:pic>
      <xdr:nvPicPr>
        <xdr:cNvPr id="5" name="Picture 4">
          <a:extLst>
            <a:ext uri="{FF2B5EF4-FFF2-40B4-BE49-F238E27FC236}">
              <a16:creationId xmlns:a16="http://schemas.microsoft.com/office/drawing/2014/main" id="{8D0E2FB1-1951-C7A5-1579-B7CC337C00E3}"/>
            </a:ext>
          </a:extLst>
        </xdr:cNvPr>
        <xdr:cNvPicPr>
          <a:picLocks noChangeAspect="1"/>
        </xdr:cNvPicPr>
      </xdr:nvPicPr>
      <xdr:blipFill>
        <a:blip xmlns:r="http://schemas.openxmlformats.org/officeDocument/2006/relationships" r:embed="rId4"/>
        <a:stretch>
          <a:fillRect/>
        </a:stretch>
      </xdr:blipFill>
      <xdr:spPr>
        <a:xfrm>
          <a:off x="13548229371" y="11607800"/>
          <a:ext cx="6382657" cy="1134266"/>
        </a:xfrm>
        <a:prstGeom prst="rect">
          <a:avLst/>
        </a:prstGeom>
      </xdr:spPr>
    </xdr:pic>
    <xdr:clientData/>
  </xdr:twoCellAnchor>
  <xdr:twoCellAnchor editAs="oneCell">
    <xdr:from>
      <xdr:col>0</xdr:col>
      <xdr:colOff>100724</xdr:colOff>
      <xdr:row>105</xdr:row>
      <xdr:rowOff>0</xdr:rowOff>
    </xdr:from>
    <xdr:to>
      <xdr:col>9</xdr:col>
      <xdr:colOff>25648</xdr:colOff>
      <xdr:row>121</xdr:row>
      <xdr:rowOff>109331</xdr:rowOff>
    </xdr:to>
    <xdr:pic>
      <xdr:nvPicPr>
        <xdr:cNvPr id="6" name="Picture 5">
          <a:extLst>
            <a:ext uri="{FF2B5EF4-FFF2-40B4-BE49-F238E27FC236}">
              <a16:creationId xmlns:a16="http://schemas.microsoft.com/office/drawing/2014/main" id="{84281912-9135-645C-4851-7029FABFD149}"/>
            </a:ext>
          </a:extLst>
        </xdr:cNvPr>
        <xdr:cNvPicPr>
          <a:picLocks noChangeAspect="1"/>
        </xdr:cNvPicPr>
      </xdr:nvPicPr>
      <xdr:blipFill>
        <a:blip xmlns:r="http://schemas.openxmlformats.org/officeDocument/2006/relationships" r:embed="rId5"/>
        <a:stretch>
          <a:fillRect/>
        </a:stretch>
      </xdr:blipFill>
      <xdr:spPr>
        <a:xfrm>
          <a:off x="13553392455" y="21178345"/>
          <a:ext cx="7374131" cy="3332503"/>
        </a:xfrm>
        <a:prstGeom prst="rect">
          <a:avLst/>
        </a:prstGeom>
      </xdr:spPr>
    </xdr:pic>
    <xdr:clientData/>
  </xdr:twoCellAnchor>
  <xdr:twoCellAnchor>
    <xdr:from>
      <xdr:col>3</xdr:col>
      <xdr:colOff>511629</xdr:colOff>
      <xdr:row>83</xdr:row>
      <xdr:rowOff>123371</xdr:rowOff>
    </xdr:from>
    <xdr:to>
      <xdr:col>3</xdr:col>
      <xdr:colOff>801914</xdr:colOff>
      <xdr:row>87</xdr:row>
      <xdr:rowOff>39914</xdr:rowOff>
    </xdr:to>
    <xdr:sp macro="" textlink="">
      <xdr:nvSpPr>
        <xdr:cNvPr id="7" name="Right Brace 6">
          <a:extLst>
            <a:ext uri="{FF2B5EF4-FFF2-40B4-BE49-F238E27FC236}">
              <a16:creationId xmlns:a16="http://schemas.microsoft.com/office/drawing/2014/main" id="{B63AD0A3-1B8C-1438-5DA9-4CC5930985C7}"/>
            </a:ext>
          </a:extLst>
        </xdr:cNvPr>
        <xdr:cNvSpPr/>
      </xdr:nvSpPr>
      <xdr:spPr>
        <a:xfrm rot="10800000">
          <a:off x="13551433400" y="17018000"/>
          <a:ext cx="290285" cy="729343"/>
        </a:xfrm>
        <a:prstGeom prst="righ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696311</xdr:colOff>
      <xdr:row>94</xdr:row>
      <xdr:rowOff>22334</xdr:rowOff>
    </xdr:from>
    <xdr:ext cx="2794518" cy="35432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𝑅/𝑛)^𝑚−1=(1+(20%)/4)^4−1=</a:t>
              </a:r>
              <a:endParaRPr lang="en-US" sz="1100"/>
            </a:p>
          </xdr:txBody>
        </xdr:sp>
      </mc:Fallback>
    </mc:AlternateContent>
    <xdr:clientData/>
  </xdr:oneCellAnchor>
  <xdr:oneCellAnchor>
    <xdr:from>
      <xdr:col>2</xdr:col>
      <xdr:colOff>735724</xdr:colOff>
      <xdr:row>98</xdr:row>
      <xdr:rowOff>188746</xdr:rowOff>
    </xdr:from>
    <xdr:ext cx="2890862" cy="17370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709448</xdr:colOff>
      <xdr:row>100</xdr:row>
      <xdr:rowOff>184367</xdr:rowOff>
    </xdr:from>
    <xdr:ext cx="2890862" cy="17370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1+21.5506%</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15%</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)=(1+𝑟_𝑟 )∗(1+</a:t>
              </a:r>
              <a:r>
                <a:rPr lang="he-IL" sz="1100" b="0" i="0">
                  <a:latin typeface="Cambria Math" panose="02040503050406030204" pitchFamily="18" charset="0"/>
                  <a:ea typeface="Cambria Math" panose="02040503050406030204" pitchFamily="18" charset="0"/>
                </a:rPr>
                <a:t>15%</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731345</xdr:colOff>
      <xdr:row>102</xdr:row>
      <xdr:rowOff>105539</xdr:rowOff>
    </xdr:from>
    <xdr:ext cx="2890862" cy="358560"/>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d>
                          <m:dPr>
                            <m:ctrlPr>
                              <a:rPr lang="he-IL" sz="1100" b="0" i="1">
                                <a:latin typeface="Cambria Math" panose="02040503050406030204" pitchFamily="18" charset="0"/>
                              </a:rPr>
                            </m:ctrlPr>
                          </m:dPr>
                          <m:e>
                            <m:r>
                              <a:rPr lang="he-IL" sz="1100" b="0" i="1">
                                <a:latin typeface="Cambria Math" panose="02040503050406030204" pitchFamily="18" charset="0"/>
                              </a:rPr>
                              <m:t>1+21.5506%</m:t>
                            </m:r>
                          </m:e>
                        </m:d>
                      </m:num>
                      <m:den>
                        <m:r>
                          <a:rPr lang="he-IL" sz="1100" b="0" i="1">
                            <a:latin typeface="Cambria Math" panose="02040503050406030204" pitchFamily="18" charset="0"/>
                          </a:rPr>
                          <m:t>(1+15%)</m:t>
                        </m:r>
                      </m:den>
                    </m:f>
                    <m:r>
                      <a:rPr lang="en-US" sz="1100" b="0" i="1">
                        <a:latin typeface="Cambria Math" panose="02040503050406030204" pitchFamily="18" charset="0"/>
                      </a:rPr>
                      <m:t>=</m:t>
                    </m:r>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a:t>
              </a:r>
              <a:r>
                <a:rPr lang="he-IL" sz="1100" b="0" i="0">
                  <a:latin typeface="Cambria Math" panose="02040503050406030204" pitchFamily="18" charset="0"/>
                </a:rPr>
                <a:t>)/((1+15%))</a:t>
              </a:r>
              <a:r>
                <a:rPr lang="en-US" sz="1100" b="0" i="0">
                  <a:latin typeface="Cambria Math" panose="02040503050406030204" pitchFamily="18" charset="0"/>
                </a:rPr>
                <a:t>=</a:t>
              </a:r>
              <a:r>
                <a:rPr lang="he-IL" sz="1100" b="0" i="0">
                  <a:latin typeface="Cambria Math" panose="02040503050406030204" pitchFamily="18" charset="0"/>
                </a:rPr>
                <a:t>1+𝑟</a:t>
              </a:r>
              <a:r>
                <a:rPr lang="en-US" sz="1100" b="0" i="0">
                  <a:latin typeface="Cambria Math" panose="02040503050406030204" pitchFamily="18" charset="0"/>
                </a:rPr>
                <a:t>_𝑟→𝑟_𝑟=</a:t>
              </a:r>
              <a:endParaRPr lang="en-US" sz="1100"/>
            </a:p>
          </xdr:txBody>
        </xdr:sp>
      </mc:Fallback>
    </mc:AlternateContent>
    <xdr:clientData/>
  </xdr:oneCellAnchor>
  <xdr:twoCellAnchor editAs="oneCell">
    <xdr:from>
      <xdr:col>0</xdr:col>
      <xdr:colOff>70069</xdr:colOff>
      <xdr:row>137</xdr:row>
      <xdr:rowOff>183930</xdr:rowOff>
    </xdr:from>
    <xdr:to>
      <xdr:col>9</xdr:col>
      <xdr:colOff>393262</xdr:colOff>
      <xdr:row>149</xdr:row>
      <xdr:rowOff>155470</xdr:rowOff>
    </xdr:to>
    <xdr:pic>
      <xdr:nvPicPr>
        <xdr:cNvPr id="12" name="Picture 11">
          <a:extLst>
            <a:ext uri="{FF2B5EF4-FFF2-40B4-BE49-F238E27FC236}">
              <a16:creationId xmlns:a16="http://schemas.microsoft.com/office/drawing/2014/main" id="{51F1DD04-3612-2F0C-17D0-D4874F2C01F0}"/>
            </a:ext>
          </a:extLst>
        </xdr:cNvPr>
        <xdr:cNvPicPr>
          <a:picLocks noChangeAspect="1"/>
        </xdr:cNvPicPr>
      </xdr:nvPicPr>
      <xdr:blipFill>
        <a:blip xmlns:r="http://schemas.openxmlformats.org/officeDocument/2006/relationships" r:embed="rId6"/>
        <a:stretch>
          <a:fillRect/>
        </a:stretch>
      </xdr:blipFill>
      <xdr:spPr>
        <a:xfrm>
          <a:off x="13553024841" y="27808620"/>
          <a:ext cx="7772400" cy="2388919"/>
        </a:xfrm>
        <a:prstGeom prst="rect">
          <a:avLst/>
        </a:prstGeom>
      </xdr:spPr>
    </xdr:pic>
    <xdr:clientData/>
  </xdr:twoCellAnchor>
  <xdr:oneCellAnchor>
    <xdr:from>
      <xdr:col>4</xdr:col>
      <xdr:colOff>407275</xdr:colOff>
      <xdr:row>156</xdr:row>
      <xdr:rowOff>193127</xdr:rowOff>
    </xdr:from>
    <xdr:ext cx="3267484"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(1+𝑅/𝑛)^𝑚−1=(1+(18%)/4)^4−1=</a:t>
              </a:r>
              <a:endParaRPr lang="en-US" sz="1100"/>
            </a:p>
          </xdr:txBody>
        </xdr:sp>
      </mc:Fallback>
    </mc:AlternateContent>
    <xdr:clientData/>
  </xdr:oneCellAnchor>
  <xdr:twoCellAnchor editAs="oneCell">
    <xdr:from>
      <xdr:col>0</xdr:col>
      <xdr:colOff>0</xdr:colOff>
      <xdr:row>160</xdr:row>
      <xdr:rowOff>0</xdr:rowOff>
    </xdr:from>
    <xdr:to>
      <xdr:col>9</xdr:col>
      <xdr:colOff>323193</xdr:colOff>
      <xdr:row>170</xdr:row>
      <xdr:rowOff>89019</xdr:rowOff>
    </xdr:to>
    <xdr:pic>
      <xdr:nvPicPr>
        <xdr:cNvPr id="14" name="Picture 13">
          <a:extLst>
            <a:ext uri="{FF2B5EF4-FFF2-40B4-BE49-F238E27FC236}">
              <a16:creationId xmlns:a16="http://schemas.microsoft.com/office/drawing/2014/main" id="{AFC0BEA6-8D29-F601-8675-CDBA69FC02E9}"/>
            </a:ext>
          </a:extLst>
        </xdr:cNvPr>
        <xdr:cNvPicPr>
          <a:picLocks noChangeAspect="1"/>
        </xdr:cNvPicPr>
      </xdr:nvPicPr>
      <xdr:blipFill>
        <a:blip xmlns:r="http://schemas.openxmlformats.org/officeDocument/2006/relationships" r:embed="rId7"/>
        <a:stretch>
          <a:fillRect/>
        </a:stretch>
      </xdr:blipFill>
      <xdr:spPr>
        <a:xfrm>
          <a:off x="13553094910" y="32258000"/>
          <a:ext cx="7772400" cy="2103502"/>
        </a:xfrm>
        <a:prstGeom prst="rect">
          <a:avLst/>
        </a:prstGeom>
      </xdr:spPr>
    </xdr:pic>
    <xdr:clientData/>
  </xdr:twoCellAnchor>
  <xdr:oneCellAnchor>
    <xdr:from>
      <xdr:col>4</xdr:col>
      <xdr:colOff>411655</xdr:colOff>
      <xdr:row>172</xdr:row>
      <xdr:rowOff>197070</xdr:rowOff>
    </xdr:from>
    <xdr:ext cx="2890862" cy="17370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437931</xdr:colOff>
      <xdr:row>174</xdr:row>
      <xdr:rowOff>192691</xdr:rowOff>
    </xdr:from>
    <xdr:ext cx="4454276" cy="177164"/>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1+7%</m:t>
                            </m:r>
                          </m:e>
                        </m:d>
                      </m:e>
                      <m:sup>
                        <m:r>
                          <a:rPr lang="he-IL" sz="1100" b="0" i="1">
                            <a:latin typeface="Cambria Math" panose="02040503050406030204" pitchFamily="18" charset="0"/>
                          </a:rPr>
                          <m:t>3</m:t>
                        </m:r>
                      </m:sup>
                    </m:sSup>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he-IL" sz="1100" b="0" i="1">
                            <a:latin typeface="Cambria Math" panose="02040503050406030204" pitchFamily="18" charset="0"/>
                          </a:rPr>
                          <m:t>3</m:t>
                        </m:r>
                      </m:sup>
                    </m:sSup>
                    <m:r>
                      <a:rPr lang="en-US"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1+5%</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1+3%</m:t>
                        </m:r>
                      </m:e>
                    </m:d>
                    <m:r>
                      <a:rPr lang="he-IL" sz="1100" b="0" i="1">
                        <a:latin typeface="Cambria Math" panose="02040503050406030204" pitchFamily="18" charset="0"/>
                      </a:rPr>
                      <m:t>∗(1+0%)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=(1+𝑟_𝑟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(1+5%)∗(1+3%)∗(1+0%)</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oneCellAnchor>
    <xdr:from>
      <xdr:col>0</xdr:col>
      <xdr:colOff>368711</xdr:colOff>
      <xdr:row>364</xdr:row>
      <xdr:rowOff>186334</xdr:rowOff>
    </xdr:from>
    <xdr:ext cx="5680175"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=−100,000+</m:t>
                    </m:r>
                    <m:f>
                      <m:fPr>
                        <m:ctrlPr>
                          <a:rPr lang="en-US" sz="1100" b="0" i="1">
                            <a:latin typeface="Cambria Math" panose="02040503050406030204" pitchFamily="18" charset="0"/>
                          </a:rPr>
                        </m:ctrlPr>
                      </m:fPr>
                      <m:num>
                        <m:r>
                          <a:rPr lang="en-US" sz="1100" b="0" i="1">
                            <a:latin typeface="Cambria Math" panose="02040503050406030204" pitchFamily="18" charset="0"/>
                          </a:rPr>
                          <m:t>53,850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52,310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2</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3</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4</m:t>
                            </m:r>
                          </m:sup>
                        </m:sSup>
                      </m:den>
                    </m:f>
                    <m:r>
                      <a:rPr lang="he-IL" sz="1100" b="0" i="1">
                        <a:latin typeface="Cambria Math" panose="02040503050406030204" pitchFamily="18" charset="0"/>
                      </a:rPr>
                      <m:t>=</m:t>
                    </m:r>
                    <m:r>
                      <a:rPr lang="en-US" sz="1100" b="0" i="1">
                        <a:latin typeface="Cambria Math" panose="02040503050406030204" pitchFamily="18" charset="0"/>
                      </a:rPr>
                      <m:t>49,928</m:t>
                    </m:r>
                  </m:oMath>
                </m:oMathPara>
              </a14:m>
              <a:endParaRPr lang="en-US" sz="1100"/>
            </a:p>
          </xdr:txBody>
        </xdr:sp>
      </mc:Choice>
      <mc:Fallback xmlns="">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𝑁𝑃𝑉=−100,000+53,850/(1+10%)^1 +52,310/(1+10%)^2 +40,440/(1+10%)^3 +40,056/(1+10%)^4 </a:t>
              </a:r>
              <a:r>
                <a:rPr lang="he-IL" sz="1100" b="0" i="0">
                  <a:latin typeface="Cambria Math" panose="02040503050406030204" pitchFamily="18" charset="0"/>
                </a:rPr>
                <a:t>=</a:t>
              </a:r>
              <a:r>
                <a:rPr lang="en-US" sz="1100" b="0" i="0">
                  <a:latin typeface="Cambria Math" panose="02040503050406030204" pitchFamily="18" charset="0"/>
                </a:rPr>
                <a:t>49,928</a:t>
              </a:r>
              <a:endParaRPr lang="en-US" sz="1100"/>
            </a:p>
          </xdr:txBody>
        </xdr:sp>
      </mc:Fallback>
    </mc:AlternateContent>
    <xdr:clientData/>
  </xdr:oneCellAnchor>
  <xdr:oneCellAnchor>
    <xdr:from>
      <xdr:col>1</xdr:col>
      <xdr:colOff>573549</xdr:colOff>
      <xdr:row>400</xdr:row>
      <xdr:rowOff>71692</xdr:rowOff>
    </xdr:from>
    <xdr:ext cx="5680175" cy="34541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2</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2</m:t>
                            </m:r>
                          </m:sup>
                        </m:sSup>
                      </m:den>
                    </m:f>
                    <m:r>
                      <a:rPr lang="he-IL" sz="1100" b="0" i="1">
                        <a:latin typeface="Cambria Math" panose="02040503050406030204" pitchFamily="18" charset="0"/>
                      </a:rPr>
                      <m:t>=69,868</m:t>
                    </m:r>
                  </m:oMath>
                </m:oMathPara>
              </a14:m>
              <a:endParaRPr lang="en-US" sz="1100"/>
            </a:p>
          </xdr:txBody>
        </xdr:sp>
      </mc:Choice>
      <mc:Fallback xmlns="">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a:t>
              </a:r>
              <a:r>
                <a:rPr lang="he-IL" sz="1100" b="0" i="0">
                  <a:latin typeface="Cambria Math" panose="02040503050406030204" pitchFamily="18" charset="0"/>
                </a:rPr>
                <a:t>_2</a:t>
              </a:r>
              <a:r>
                <a:rPr lang="en-US" sz="1100" b="0" i="0">
                  <a:latin typeface="Cambria Math" panose="02040503050406030204" pitchFamily="18" charset="0"/>
                </a:rPr>
                <a:t>=40,440/(1+10%)^</a:t>
              </a:r>
              <a:r>
                <a:rPr lang="he-IL" sz="1100" b="0" i="0">
                  <a:latin typeface="Cambria Math" panose="02040503050406030204" pitchFamily="18" charset="0"/>
                </a:rPr>
                <a:t>1</a:t>
              </a:r>
              <a:r>
                <a:rPr lang="en-US" sz="1100" b="0" i="0">
                  <a:latin typeface="Cambria Math" panose="02040503050406030204" pitchFamily="18" charset="0"/>
                </a:rPr>
                <a:t> +40,056/(1+10%)^</a:t>
              </a:r>
              <a:r>
                <a:rPr lang="he-IL" sz="1100" b="0" i="0">
                  <a:latin typeface="Cambria Math" panose="02040503050406030204" pitchFamily="18" charset="0"/>
                </a:rPr>
                <a:t>2</a:t>
              </a:r>
              <a:r>
                <a:rPr lang="en-US" sz="1100" b="0" i="0">
                  <a:latin typeface="Cambria Math" panose="02040503050406030204" pitchFamily="18" charset="0"/>
                </a:rPr>
                <a:t> </a:t>
              </a:r>
              <a:r>
                <a:rPr lang="he-IL" sz="1100" b="0" i="0">
                  <a:latin typeface="Cambria Math" panose="02040503050406030204" pitchFamily="18" charset="0"/>
                </a:rPr>
                <a:t>=69,868</a:t>
              </a:r>
              <a:endParaRPr lang="en-US" sz="1100"/>
            </a:p>
          </xdr:txBody>
        </xdr:sp>
      </mc:Fallback>
    </mc:AlternateContent>
    <xdr:clientData/>
  </xdr:oneCellAnchor>
  <xdr:twoCellAnchor>
    <xdr:from>
      <xdr:col>8</xdr:col>
      <xdr:colOff>778388</xdr:colOff>
      <xdr:row>427</xdr:row>
      <xdr:rowOff>30726</xdr:rowOff>
    </xdr:from>
    <xdr:to>
      <xdr:col>9</xdr:col>
      <xdr:colOff>464301</xdr:colOff>
      <xdr:row>427</xdr:row>
      <xdr:rowOff>187769</xdr:rowOff>
    </xdr:to>
    <xdr:sp macro="" textlink="">
      <xdr:nvSpPr>
        <xdr:cNvPr id="9" name="Left Arrow 8">
          <a:extLst>
            <a:ext uri="{FF2B5EF4-FFF2-40B4-BE49-F238E27FC236}">
              <a16:creationId xmlns:a16="http://schemas.microsoft.com/office/drawing/2014/main" id="{505E5761-05E6-96FE-7F08-4C042A749862}"/>
            </a:ext>
          </a:extLst>
        </xdr:cNvPr>
        <xdr:cNvSpPr/>
      </xdr:nvSpPr>
      <xdr:spPr>
        <a:xfrm>
          <a:off x="13528278979" y="41633468"/>
          <a:ext cx="512096" cy="157043"/>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82357</xdr:colOff>
      <xdr:row>258</xdr:row>
      <xdr:rowOff>56346</xdr:rowOff>
    </xdr:from>
    <xdr:to>
      <xdr:col>7</xdr:col>
      <xdr:colOff>624136</xdr:colOff>
      <xdr:row>269</xdr:row>
      <xdr:rowOff>13000</xdr:rowOff>
    </xdr:to>
    <xdr:pic>
      <xdr:nvPicPr>
        <xdr:cNvPr id="5" name="Picture 4">
          <a:extLst>
            <a:ext uri="{FF2B5EF4-FFF2-40B4-BE49-F238E27FC236}">
              <a16:creationId xmlns:a16="http://schemas.microsoft.com/office/drawing/2014/main" id="{B0C2E439-C57C-4422-CF10-59801323FDED}"/>
            </a:ext>
          </a:extLst>
        </xdr:cNvPr>
        <xdr:cNvPicPr>
          <a:picLocks noChangeAspect="1"/>
        </xdr:cNvPicPr>
      </xdr:nvPicPr>
      <xdr:blipFill>
        <a:blip xmlns:r="http://schemas.openxmlformats.org/officeDocument/2006/relationships" r:embed="rId1"/>
        <a:stretch>
          <a:fillRect/>
        </a:stretch>
      </xdr:blipFill>
      <xdr:spPr>
        <a:xfrm>
          <a:off x="13486645830" y="44397984"/>
          <a:ext cx="6475670" cy="2197577"/>
        </a:xfrm>
        <a:prstGeom prst="rect">
          <a:avLst/>
        </a:prstGeom>
      </xdr:spPr>
    </xdr:pic>
    <xdr:clientData/>
  </xdr:twoCellAnchor>
  <xdr:twoCellAnchor>
    <xdr:from>
      <xdr:col>1</xdr:col>
      <xdr:colOff>372765</xdr:colOff>
      <xdr:row>140</xdr:row>
      <xdr:rowOff>13003</xdr:rowOff>
    </xdr:from>
    <xdr:to>
      <xdr:col>1</xdr:col>
      <xdr:colOff>429113</xdr:colOff>
      <xdr:row>140</xdr:row>
      <xdr:rowOff>186382</xdr:rowOff>
    </xdr:to>
    <xdr:sp macro="" textlink="">
      <xdr:nvSpPr>
        <xdr:cNvPr id="8" name="Down Arrow 7">
          <a:extLst>
            <a:ext uri="{FF2B5EF4-FFF2-40B4-BE49-F238E27FC236}">
              <a16:creationId xmlns:a16="http://schemas.microsoft.com/office/drawing/2014/main" id="{D74784F7-488F-A71A-ECEA-50D3631F347E}"/>
            </a:ext>
          </a:extLst>
        </xdr:cNvPr>
        <xdr:cNvSpPr/>
      </xdr:nvSpPr>
      <xdr:spPr>
        <a:xfrm>
          <a:off x="13491951195" y="28767884"/>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351093</xdr:colOff>
      <xdr:row>142</xdr:row>
      <xdr:rowOff>65017</xdr:rowOff>
    </xdr:from>
    <xdr:to>
      <xdr:col>1</xdr:col>
      <xdr:colOff>407441</xdr:colOff>
      <xdr:row>143</xdr:row>
      <xdr:rowOff>34676</xdr:rowOff>
    </xdr:to>
    <xdr:sp macro="" textlink="">
      <xdr:nvSpPr>
        <xdr:cNvPr id="11" name="Down Arrow 10">
          <a:extLst>
            <a:ext uri="{FF2B5EF4-FFF2-40B4-BE49-F238E27FC236}">
              <a16:creationId xmlns:a16="http://schemas.microsoft.com/office/drawing/2014/main" id="{C5ED2A02-20E6-DFA7-AEDC-CEB8692C73B8}"/>
            </a:ext>
          </a:extLst>
        </xdr:cNvPr>
        <xdr:cNvSpPr/>
      </xdr:nvSpPr>
      <xdr:spPr>
        <a:xfrm>
          <a:off x="13491972867" y="29227338"/>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149</xdr:row>
      <xdr:rowOff>0</xdr:rowOff>
    </xdr:from>
    <xdr:to>
      <xdr:col>7</xdr:col>
      <xdr:colOff>315787</xdr:colOff>
      <xdr:row>159</xdr:row>
      <xdr:rowOff>143038</xdr:rowOff>
    </xdr:to>
    <xdr:pic>
      <xdr:nvPicPr>
        <xdr:cNvPr id="12" name="Picture 11">
          <a:extLst>
            <a:ext uri="{FF2B5EF4-FFF2-40B4-BE49-F238E27FC236}">
              <a16:creationId xmlns:a16="http://schemas.microsoft.com/office/drawing/2014/main" id="{130C4879-EC69-429C-7012-C0EA194FC519}"/>
            </a:ext>
          </a:extLst>
        </xdr:cNvPr>
        <xdr:cNvPicPr>
          <a:picLocks noChangeAspect="1"/>
        </xdr:cNvPicPr>
      </xdr:nvPicPr>
      <xdr:blipFill>
        <a:blip xmlns:r="http://schemas.openxmlformats.org/officeDocument/2006/relationships" r:embed="rId2"/>
        <a:stretch>
          <a:fillRect/>
        </a:stretch>
      </xdr:blipFill>
      <xdr:spPr>
        <a:xfrm>
          <a:off x="13486954179" y="30614369"/>
          <a:ext cx="6249678" cy="2180239"/>
        </a:xfrm>
        <a:prstGeom prst="rect">
          <a:avLst/>
        </a:prstGeom>
      </xdr:spPr>
    </xdr:pic>
    <xdr:clientData/>
  </xdr:twoCellAnchor>
  <xdr:oneCellAnchor>
    <xdr:from>
      <xdr:col>2</xdr:col>
      <xdr:colOff>670627</xdr:colOff>
      <xdr:row>219</xdr:row>
      <xdr:rowOff>81158</xdr:rowOff>
    </xdr:from>
    <xdr:ext cx="4252551" cy="341953"/>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0070C0"/>
                            </a:solidFill>
                            <a:latin typeface="Cambria Math" panose="02040503050406030204" pitchFamily="18" charset="0"/>
                          </a:rPr>
                          <m:t>90</m:t>
                        </m:r>
                      </m:num>
                      <m:den>
                        <m:sSup>
                          <m:sSupPr>
                            <m:ctrlPr>
                              <a:rPr lang="en-US" sz="1100" b="0" i="1">
                                <a:solidFill>
                                  <a:srgbClr val="0070C0"/>
                                </a:solidFill>
                                <a:latin typeface="Cambria Math" panose="02040503050406030204" pitchFamily="18" charset="0"/>
                              </a:rPr>
                            </m:ctrlPr>
                          </m:sSupPr>
                          <m:e>
                            <m:d>
                              <m:dPr>
                                <m:ctrlPr>
                                  <a:rPr lang="en-US" sz="1100" b="0" i="1">
                                    <a:solidFill>
                                      <a:srgbClr val="0070C0"/>
                                    </a:solidFill>
                                    <a:latin typeface="Cambria Math" panose="02040503050406030204" pitchFamily="18" charset="0"/>
                                  </a:rPr>
                                </m:ctrlPr>
                              </m:dPr>
                              <m:e>
                                <m:r>
                                  <a:rPr lang="en-US" sz="1100" b="0" i="1">
                                    <a:solidFill>
                                      <a:srgbClr val="0070C0"/>
                                    </a:solidFill>
                                    <a:latin typeface="Cambria Math" panose="02040503050406030204" pitchFamily="18" charset="0"/>
                                  </a:rPr>
                                  <m:t>1+</m:t>
                                </m:r>
                                <m:r>
                                  <a:rPr lang="en-US" sz="1100" b="0" i="1">
                                    <a:solidFill>
                                      <a:srgbClr val="0070C0"/>
                                    </a:solidFill>
                                    <a:latin typeface="Cambria Math" panose="02040503050406030204" pitchFamily="18" charset="0"/>
                                  </a:rPr>
                                  <m:t>𝐼𝑅𝑅</m:t>
                                </m:r>
                              </m:e>
                            </m:d>
                          </m:e>
                          <m:sup>
                            <m:r>
                              <a:rPr lang="en-US" sz="1100" b="0" i="1">
                                <a:solidFill>
                                  <a:srgbClr val="0070C0"/>
                                </a:solidFill>
                                <a:latin typeface="Cambria Math" panose="02040503050406030204" pitchFamily="18" charset="0"/>
                              </a:rPr>
                              <m:t>1</m:t>
                            </m:r>
                          </m:sup>
                        </m:sSup>
                      </m:den>
                    </m:f>
                    <m:r>
                      <a:rPr lang="en-US" sz="1100" b="0" i="1">
                        <a:solidFill>
                          <a:srgbClr val="D883FF"/>
                        </a:solidFill>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D883FF"/>
                            </a:solidFill>
                            <a:latin typeface="Cambria Math" panose="02040503050406030204" pitchFamily="18" charset="0"/>
                          </a:rPr>
                          <m:t>90</m:t>
                        </m:r>
                      </m:num>
                      <m:den>
                        <m:sSup>
                          <m:sSupPr>
                            <m:ctrlPr>
                              <a:rPr lang="en-US" sz="1100" b="0" i="1">
                                <a:solidFill>
                                  <a:srgbClr val="D883FF"/>
                                </a:solidFill>
                                <a:latin typeface="Cambria Math" panose="02040503050406030204" pitchFamily="18" charset="0"/>
                              </a:rPr>
                            </m:ctrlPr>
                          </m:sSupPr>
                          <m:e>
                            <m:d>
                              <m:dPr>
                                <m:ctrlPr>
                                  <a:rPr lang="en-US" sz="1100" b="0" i="1">
                                    <a:solidFill>
                                      <a:srgbClr val="D883FF"/>
                                    </a:solidFill>
                                    <a:latin typeface="Cambria Math" panose="02040503050406030204" pitchFamily="18" charset="0"/>
                                  </a:rPr>
                                </m:ctrlPr>
                              </m:dPr>
                              <m:e>
                                <m:r>
                                  <a:rPr lang="en-US" sz="1100" b="0" i="1">
                                    <a:solidFill>
                                      <a:srgbClr val="D883FF"/>
                                    </a:solidFill>
                                    <a:latin typeface="Cambria Math" panose="02040503050406030204" pitchFamily="18" charset="0"/>
                                  </a:rPr>
                                  <m:t>1+</m:t>
                                </m:r>
                                <m:r>
                                  <a:rPr lang="en-US" sz="1100" b="0" i="1">
                                    <a:solidFill>
                                      <a:srgbClr val="D883FF"/>
                                    </a:solidFill>
                                    <a:latin typeface="Cambria Math" panose="02040503050406030204" pitchFamily="18" charset="0"/>
                                  </a:rPr>
                                  <m:t>𝐼𝑅𝑅</m:t>
                                </m:r>
                              </m:e>
                            </m:d>
                          </m:e>
                          <m:sup>
                            <m:r>
                              <a:rPr lang="en-US" sz="1100" b="0" i="1">
                                <a:solidFill>
                                  <a:srgbClr val="D883FF"/>
                                </a:solidFill>
                                <a:latin typeface="Cambria Math" panose="02040503050406030204" pitchFamily="18" charset="0"/>
                              </a:rPr>
                              <m:t>2</m:t>
                            </m:r>
                          </m:sup>
                        </m:sSup>
                      </m:den>
                    </m:f>
                    <m:r>
                      <a:rPr lang="en-US" sz="1100" b="0" i="1">
                        <a:latin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he-IL" sz="1100" b="0" i="0">
                  <a:solidFill>
                    <a:srgbClr val="0070C0"/>
                  </a:solidFill>
                  <a:latin typeface="Cambria Math" panose="02040503050406030204" pitchFamily="18" charset="0"/>
                </a:rPr>
                <a:t>90/</a:t>
              </a:r>
              <a:r>
                <a:rPr lang="en-US" sz="1100" b="0" i="0">
                  <a:solidFill>
                    <a:srgbClr val="0070C0"/>
                  </a:solidFill>
                  <a:latin typeface="Cambria Math" panose="02040503050406030204" pitchFamily="18" charset="0"/>
                </a:rPr>
                <a:t>(1+𝐼𝑅𝑅)^1 </a:t>
              </a:r>
              <a:r>
                <a:rPr lang="en-US" sz="1100" b="0" i="0">
                  <a:solidFill>
                    <a:srgbClr val="D883FF"/>
                  </a:solidFill>
                  <a:latin typeface="Cambria Math" panose="02040503050406030204" pitchFamily="18" charset="0"/>
                </a:rPr>
                <a:t>−90/(1+𝐼𝑅𝑅)^2 </a:t>
              </a:r>
              <a:r>
                <a:rPr lang="en-US" sz="1100" b="0" i="0">
                  <a:latin typeface="Cambria Math" panose="02040503050406030204" pitchFamily="18" charset="0"/>
                </a:rPr>
                <a:t>=0</a:t>
              </a:r>
              <a:endParaRPr lang="en-US" sz="1100"/>
            </a:p>
          </xdr:txBody>
        </xdr:sp>
      </mc:Fallback>
    </mc:AlternateContent>
    <xdr:clientData/>
  </xdr:oneCellAnchor>
  <xdr:oneCellAnchor>
    <xdr:from>
      <xdr:col>2</xdr:col>
      <xdr:colOff>316418</xdr:colOff>
      <xdr:row>294</xdr:row>
      <xdr:rowOff>138789</xdr:rowOff>
    </xdr:from>
    <xdr:ext cx="3524359" cy="457561"/>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−2,000,000+</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600,000</m:t>
                            </m:r>
                          </m:num>
                          <m:den>
                            <m:r>
                              <a:rPr lang="en-US" sz="1100" b="0" i="1">
                                <a:latin typeface="Cambria Math" panose="02040503050406030204" pitchFamily="18" charset="0"/>
                              </a:rPr>
                              <m:t>𝑟</m:t>
                            </m:r>
                          </m:den>
                        </m:f>
                      </m:num>
                      <m:den>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400,000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≈7.8%</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−2,000,000+(600,000/𝑟)/((1+𝑟) )=400,000/𝑟→𝑟≈7.8%</a:t>
              </a:r>
              <a:endParaRPr lang="en-US" sz="1100"/>
            </a:p>
          </xdr:txBody>
        </xdr:sp>
      </mc:Fallback>
    </mc:AlternateContent>
    <xdr:clientData/>
  </xdr:oneCellAnchor>
  <xdr:twoCellAnchor>
    <xdr:from>
      <xdr:col>7</xdr:col>
      <xdr:colOff>443024</xdr:colOff>
      <xdr:row>3</xdr:row>
      <xdr:rowOff>190336</xdr:rowOff>
    </xdr:from>
    <xdr:to>
      <xdr:col>7</xdr:col>
      <xdr:colOff>790879</xdr:colOff>
      <xdr:row>7</xdr:row>
      <xdr:rowOff>183772</xdr:rowOff>
    </xdr:to>
    <xdr:sp macro="" textlink="">
      <xdr:nvSpPr>
        <xdr:cNvPr id="2" name="Left Brace 1">
          <a:extLst>
            <a:ext uri="{FF2B5EF4-FFF2-40B4-BE49-F238E27FC236}">
              <a16:creationId xmlns:a16="http://schemas.microsoft.com/office/drawing/2014/main" id="{0DFC908A-CB59-41EC-E3D2-AD85BBF57B09}"/>
            </a:ext>
          </a:extLst>
        </xdr:cNvPr>
        <xdr:cNvSpPr/>
      </xdr:nvSpPr>
      <xdr:spPr>
        <a:xfrm>
          <a:off x="13542607260" y="800724"/>
          <a:ext cx="347855" cy="80728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443024</xdr:colOff>
      <xdr:row>8</xdr:row>
      <xdr:rowOff>19689</xdr:rowOff>
    </xdr:from>
    <xdr:to>
      <xdr:col>7</xdr:col>
      <xdr:colOff>790879</xdr:colOff>
      <xdr:row>15</xdr:row>
      <xdr:rowOff>49224</xdr:rowOff>
    </xdr:to>
    <xdr:sp macro="" textlink="">
      <xdr:nvSpPr>
        <xdr:cNvPr id="16" name="Left Brace 15">
          <a:extLst>
            <a:ext uri="{FF2B5EF4-FFF2-40B4-BE49-F238E27FC236}">
              <a16:creationId xmlns:a16="http://schemas.microsoft.com/office/drawing/2014/main" id="{9B87C8D5-EA4C-B00C-3FAE-C0EE740A7DAA}"/>
            </a:ext>
          </a:extLst>
        </xdr:cNvPr>
        <xdr:cNvSpPr/>
      </xdr:nvSpPr>
      <xdr:spPr>
        <a:xfrm>
          <a:off x="13542607260" y="1647389"/>
          <a:ext cx="347855" cy="145377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846666</xdr:colOff>
      <xdr:row>20</xdr:row>
      <xdr:rowOff>147674</xdr:rowOff>
    </xdr:from>
    <xdr:to>
      <xdr:col>4</xdr:col>
      <xdr:colOff>318320</xdr:colOff>
      <xdr:row>24</xdr:row>
      <xdr:rowOff>82041</xdr:rowOff>
    </xdr:to>
    <xdr:sp macro="" textlink="">
      <xdr:nvSpPr>
        <xdr:cNvPr id="17" name="Left Brace 16">
          <a:extLst>
            <a:ext uri="{FF2B5EF4-FFF2-40B4-BE49-F238E27FC236}">
              <a16:creationId xmlns:a16="http://schemas.microsoft.com/office/drawing/2014/main" id="{63884DF2-3EA4-DE69-06B9-08E0E7D650D2}"/>
            </a:ext>
          </a:extLst>
        </xdr:cNvPr>
        <xdr:cNvSpPr/>
      </xdr:nvSpPr>
      <xdr:spPr>
        <a:xfrm>
          <a:off x="13545623101" y="4216925"/>
          <a:ext cx="400362" cy="97793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626795</xdr:colOff>
      <xdr:row>20</xdr:row>
      <xdr:rowOff>75477</xdr:rowOff>
    </xdr:from>
    <xdr:to>
      <xdr:col>6</xdr:col>
      <xdr:colOff>105012</xdr:colOff>
      <xdr:row>23</xdr:row>
      <xdr:rowOff>187054</xdr:rowOff>
    </xdr:to>
    <xdr:sp macro="" textlink="">
      <xdr:nvSpPr>
        <xdr:cNvPr id="18" name="Rectangular Callout 17">
          <a:extLst>
            <a:ext uri="{FF2B5EF4-FFF2-40B4-BE49-F238E27FC236}">
              <a16:creationId xmlns:a16="http://schemas.microsoft.com/office/drawing/2014/main" id="{899270A5-9B28-EC50-35FD-730BECDF3E71}"/>
            </a:ext>
          </a:extLst>
        </xdr:cNvPr>
        <xdr:cNvSpPr/>
      </xdr:nvSpPr>
      <xdr:spPr>
        <a:xfrm>
          <a:off x="13544120104" y="4144728"/>
          <a:ext cx="1194522" cy="951680"/>
        </a:xfrm>
        <a:prstGeom prst="wedgeRectCallout">
          <a:avLst>
            <a:gd name="adj1" fmla="val -61218"/>
            <a:gd name="adj2" fmla="val 480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כשרוצים להעריך פרויקטים מחשבים</a:t>
          </a:r>
          <a:r>
            <a:rPr lang="he-IL" sz="1100" baseline="0"/>
            <a:t> מהר ב-</a:t>
          </a:r>
          <a:r>
            <a:rPr lang="en-US" sz="1100" baseline="0"/>
            <a:t>CASH</a:t>
          </a:r>
        </a:p>
        <a:p>
          <a:pPr algn="r" rtl="1"/>
          <a:r>
            <a:rPr lang="he-IL" sz="1100" baseline="0"/>
            <a:t>כאילו היינו סוס גולש</a:t>
          </a:r>
          <a:endParaRPr lang="en-US" sz="1100"/>
        </a:p>
      </xdr:txBody>
    </xdr:sp>
    <xdr:clientData/>
  </xdr:twoCellAnchor>
  <xdr:twoCellAnchor editAs="oneCell">
    <xdr:from>
      <xdr:col>6</xdr:col>
      <xdr:colOff>142972</xdr:colOff>
      <xdr:row>22</xdr:row>
      <xdr:rowOff>13127</xdr:rowOff>
    </xdr:from>
    <xdr:to>
      <xdr:col>7</xdr:col>
      <xdr:colOff>112036</xdr:colOff>
      <xdr:row>26</xdr:row>
      <xdr:rowOff>84961</xdr:rowOff>
    </xdr:to>
    <xdr:pic>
      <xdr:nvPicPr>
        <xdr:cNvPr id="19" name="Picture 18">
          <a:extLst>
            <a:ext uri="{FF2B5EF4-FFF2-40B4-BE49-F238E27FC236}">
              <a16:creationId xmlns:a16="http://schemas.microsoft.com/office/drawing/2014/main" id="{538E0E7D-C728-531E-48AF-EF533B24C505}"/>
            </a:ext>
          </a:extLst>
        </xdr:cNvPr>
        <xdr:cNvPicPr>
          <a:picLocks noChangeAspect="1"/>
        </xdr:cNvPicPr>
      </xdr:nvPicPr>
      <xdr:blipFill>
        <a:blip xmlns:r="http://schemas.openxmlformats.org/officeDocument/2006/relationships" r:embed="rId3"/>
        <a:stretch>
          <a:fillRect/>
        </a:stretch>
      </xdr:blipFill>
      <xdr:spPr>
        <a:xfrm>
          <a:off x="13543286103" y="4719018"/>
          <a:ext cx="796041" cy="885685"/>
        </a:xfrm>
        <a:prstGeom prst="rect">
          <a:avLst/>
        </a:prstGeom>
      </xdr:spPr>
    </xdr:pic>
    <xdr:clientData/>
  </xdr:twoCellAnchor>
  <xdr:twoCellAnchor editAs="oneCell">
    <xdr:from>
      <xdr:col>0</xdr:col>
      <xdr:colOff>26254</xdr:colOff>
      <xdr:row>41</xdr:row>
      <xdr:rowOff>111575</xdr:rowOff>
    </xdr:from>
    <xdr:to>
      <xdr:col>8</xdr:col>
      <xdr:colOff>567725</xdr:colOff>
      <xdr:row>50</xdr:row>
      <xdr:rowOff>42115</xdr:rowOff>
    </xdr:to>
    <xdr:pic>
      <xdr:nvPicPr>
        <xdr:cNvPr id="20" name="Picture 19">
          <a:extLst>
            <a:ext uri="{FF2B5EF4-FFF2-40B4-BE49-F238E27FC236}">
              <a16:creationId xmlns:a16="http://schemas.microsoft.com/office/drawing/2014/main" id="{F34665C9-DBD5-35A7-1664-C8C0709D0456}"/>
            </a:ext>
          </a:extLst>
        </xdr:cNvPr>
        <xdr:cNvPicPr>
          <a:picLocks noChangeAspect="1"/>
        </xdr:cNvPicPr>
      </xdr:nvPicPr>
      <xdr:blipFill>
        <a:blip xmlns:r="http://schemas.openxmlformats.org/officeDocument/2006/relationships" r:embed="rId4"/>
        <a:stretch>
          <a:fillRect/>
        </a:stretch>
      </xdr:blipFill>
      <xdr:spPr>
        <a:xfrm>
          <a:off x="13542003437" y="8709508"/>
          <a:ext cx="7321368" cy="1761703"/>
        </a:xfrm>
        <a:prstGeom prst="rect">
          <a:avLst/>
        </a:prstGeom>
      </xdr:spPr>
    </xdr:pic>
    <xdr:clientData/>
  </xdr:twoCellAnchor>
  <xdr:twoCellAnchor>
    <xdr:from>
      <xdr:col>5</xdr:col>
      <xdr:colOff>364537</xdr:colOff>
      <xdr:row>79</xdr:row>
      <xdr:rowOff>148951</xdr:rowOff>
    </xdr:from>
    <xdr:to>
      <xdr:col>5</xdr:col>
      <xdr:colOff>497808</xdr:colOff>
      <xdr:row>80</xdr:row>
      <xdr:rowOff>160710</xdr:rowOff>
    </xdr:to>
    <xdr:sp macro="" textlink="">
      <xdr:nvSpPr>
        <xdr:cNvPr id="21" name="Up Arrow 20">
          <a:extLst>
            <a:ext uri="{FF2B5EF4-FFF2-40B4-BE49-F238E27FC236}">
              <a16:creationId xmlns:a16="http://schemas.microsoft.com/office/drawing/2014/main" id="{F961BA29-E2F5-A2A7-5D8B-43EDBF6203F0}"/>
            </a:ext>
          </a:extLst>
        </xdr:cNvPr>
        <xdr:cNvSpPr/>
      </xdr:nvSpPr>
      <xdr:spPr>
        <a:xfrm>
          <a:off x="13546110062" y="16549198"/>
          <a:ext cx="133271" cy="215586"/>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15</xdr:col>
      <xdr:colOff>360284</xdr:colOff>
      <xdr:row>130</xdr:row>
      <xdr:rowOff>45036</xdr:rowOff>
    </xdr:from>
    <xdr:to>
      <xdr:col>15</xdr:col>
      <xdr:colOff>396311</xdr:colOff>
      <xdr:row>144</xdr:row>
      <xdr:rowOff>121596</xdr:rowOff>
    </xdr:to>
    <xdr:cxnSp macro="">
      <xdr:nvCxnSpPr>
        <xdr:cNvPr id="23" name="Straight Arrow Connector 22">
          <a:extLst>
            <a:ext uri="{FF2B5EF4-FFF2-40B4-BE49-F238E27FC236}">
              <a16:creationId xmlns:a16="http://schemas.microsoft.com/office/drawing/2014/main" id="{BC30DC57-8F8E-107C-32DE-481755476585}"/>
            </a:ext>
          </a:extLst>
        </xdr:cNvPr>
        <xdr:cNvCxnSpPr/>
      </xdr:nvCxnSpPr>
      <xdr:spPr>
        <a:xfrm flipH="1" flipV="1">
          <a:off x="13490097625" y="26836632"/>
          <a:ext cx="36027" cy="292730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11</xdr:col>
      <xdr:colOff>689042</xdr:colOff>
      <xdr:row>138</xdr:row>
      <xdr:rowOff>94575</xdr:rowOff>
    </xdr:from>
    <xdr:to>
      <xdr:col>15</xdr:col>
      <xdr:colOff>576453</xdr:colOff>
      <xdr:row>138</xdr:row>
      <xdr:rowOff>99078</xdr:rowOff>
    </xdr:to>
    <xdr:cxnSp macro="">
      <xdr:nvCxnSpPr>
        <xdr:cNvPr id="24" name="Straight Arrow Connector 23">
          <a:extLst>
            <a:ext uri="{FF2B5EF4-FFF2-40B4-BE49-F238E27FC236}">
              <a16:creationId xmlns:a16="http://schemas.microsoft.com/office/drawing/2014/main" id="{36EB5333-F1B8-3B3C-0945-F26470BC5146}"/>
            </a:ext>
          </a:extLst>
        </xdr:cNvPr>
        <xdr:cNvCxnSpPr/>
      </xdr:nvCxnSpPr>
      <xdr:spPr>
        <a:xfrm>
          <a:off x="13489917483" y="28507447"/>
          <a:ext cx="3184006" cy="450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157624</xdr:colOff>
      <xdr:row>133</xdr:row>
      <xdr:rowOff>157624</xdr:rowOff>
    </xdr:from>
    <xdr:to>
      <xdr:col>15</xdr:col>
      <xdr:colOff>387305</xdr:colOff>
      <xdr:row>140</xdr:row>
      <xdr:rowOff>135106</xdr:rowOff>
    </xdr:to>
    <xdr:sp macro="" textlink="">
      <xdr:nvSpPr>
        <xdr:cNvPr id="27" name="Freeform 26">
          <a:extLst>
            <a:ext uri="{FF2B5EF4-FFF2-40B4-BE49-F238E27FC236}">
              <a16:creationId xmlns:a16="http://schemas.microsoft.com/office/drawing/2014/main" id="{3B6C6691-238E-E45C-C2E9-85DF6AA46DA4}"/>
            </a:ext>
          </a:extLst>
        </xdr:cNvPr>
        <xdr:cNvSpPr/>
      </xdr:nvSpPr>
      <xdr:spPr>
        <a:xfrm>
          <a:off x="13490106631" y="27557198"/>
          <a:ext cx="1877979" cy="1396099"/>
        </a:xfrm>
        <a:custGeom>
          <a:avLst/>
          <a:gdLst>
            <a:gd name="connsiteX0" fmla="*/ 0 w 2508475"/>
            <a:gd name="connsiteY0" fmla="*/ 0 h 1846454"/>
            <a:gd name="connsiteX1" fmla="*/ 1170922 w 2508475"/>
            <a:gd name="connsiteY1" fmla="*/ 1522199 h 1846454"/>
            <a:gd name="connsiteX2" fmla="*/ 2508475 w 2508475"/>
            <a:gd name="connsiteY2" fmla="*/ 1846454 h 1846454"/>
          </a:gdLst>
          <a:ahLst/>
          <a:cxnLst>
            <a:cxn ang="0">
              <a:pos x="connsiteX0" y="connsiteY0"/>
            </a:cxn>
            <a:cxn ang="0">
              <a:pos x="connsiteX1" y="connsiteY1"/>
            </a:cxn>
            <a:cxn ang="0">
              <a:pos x="connsiteX2" y="connsiteY2"/>
            </a:cxn>
          </a:cxnLst>
          <a:rect l="l" t="t" r="r" b="b"/>
          <a:pathLst>
            <a:path w="2508475" h="1846454">
              <a:moveTo>
                <a:pt x="0" y="0"/>
              </a:moveTo>
              <a:cubicBezTo>
                <a:pt x="376421" y="607228"/>
                <a:pt x="752843" y="1214457"/>
                <a:pt x="1170922" y="1522199"/>
              </a:cubicBezTo>
              <a:cubicBezTo>
                <a:pt x="1589001" y="1829941"/>
                <a:pt x="2048738" y="1838197"/>
                <a:pt x="2508475" y="1846454"/>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14</xdr:col>
      <xdr:colOff>558440</xdr:colOff>
      <xdr:row>133</xdr:row>
      <xdr:rowOff>42693</xdr:rowOff>
    </xdr:from>
    <xdr:ext cx="1690324" cy="173766"/>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8,242</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8,242</a:t>
              </a:r>
              <a:endParaRPr lang="en-US" sz="1100"/>
            </a:p>
          </xdr:txBody>
        </xdr:sp>
      </mc:Fallback>
    </mc:AlternateContent>
    <xdr:clientData/>
  </xdr:oneCellAnchor>
  <xdr:oneCellAnchor>
    <xdr:from>
      <xdr:col>13</xdr:col>
      <xdr:colOff>285311</xdr:colOff>
      <xdr:row>138</xdr:row>
      <xdr:rowOff>105496</xdr:rowOff>
    </xdr:from>
    <xdr:ext cx="1690324" cy="9477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17.76%</m:t>
                    </m:r>
                  </m:oMath>
                </m:oMathPara>
              </a14:m>
              <a:endParaRPr lang="en-US" sz="600"/>
            </a:p>
          </xdr:txBody>
        </xdr:sp>
      </mc:Choice>
      <mc:Fallback xmlns="">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17.76%</a:t>
              </a:r>
              <a:endParaRPr lang="en-US" sz="600"/>
            </a:p>
          </xdr:txBody>
        </xdr:sp>
      </mc:Fallback>
    </mc:AlternateContent>
    <xdr:clientData/>
  </xdr:oneCellAnchor>
  <xdr:oneCellAnchor>
    <xdr:from>
      <xdr:col>14</xdr:col>
      <xdr:colOff>675533</xdr:colOff>
      <xdr:row>140</xdr:row>
      <xdr:rowOff>65211</xdr:rowOff>
    </xdr:from>
    <xdr:ext cx="1690324" cy="17376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a:t>
              </a:r>
              <a:endParaRPr lang="en-US" sz="1100"/>
            </a:p>
          </xdr:txBody>
        </xdr:sp>
      </mc:Fallback>
    </mc:AlternateContent>
    <xdr:clientData/>
  </xdr:oneCellAnchor>
  <xdr:twoCellAnchor>
    <xdr:from>
      <xdr:col>13</xdr:col>
      <xdr:colOff>666525</xdr:colOff>
      <xdr:row>131</xdr:row>
      <xdr:rowOff>9007</xdr:rowOff>
    </xdr:from>
    <xdr:to>
      <xdr:col>15</xdr:col>
      <xdr:colOff>405319</xdr:colOff>
      <xdr:row>143</xdr:row>
      <xdr:rowOff>162128</xdr:rowOff>
    </xdr:to>
    <xdr:sp macro="" textlink="">
      <xdr:nvSpPr>
        <xdr:cNvPr id="31" name="Freeform 30">
          <a:extLst>
            <a:ext uri="{FF2B5EF4-FFF2-40B4-BE49-F238E27FC236}">
              <a16:creationId xmlns:a16="http://schemas.microsoft.com/office/drawing/2014/main" id="{6699B46A-B05D-7540-9821-8F2DA80708B5}"/>
            </a:ext>
          </a:extLst>
        </xdr:cNvPr>
        <xdr:cNvSpPr/>
      </xdr:nvSpPr>
      <xdr:spPr>
        <a:xfrm>
          <a:off x="13490088617" y="27003262"/>
          <a:ext cx="1387092" cy="2585036"/>
        </a:xfrm>
        <a:custGeom>
          <a:avLst/>
          <a:gdLst>
            <a:gd name="connsiteX0" fmla="*/ 0 w 1387092"/>
            <a:gd name="connsiteY0" fmla="*/ 0 h 2585036"/>
            <a:gd name="connsiteX1" fmla="*/ 612482 w 1387092"/>
            <a:gd name="connsiteY1" fmla="*/ 2148192 h 2585036"/>
            <a:gd name="connsiteX2" fmla="*/ 1387092 w 1387092"/>
            <a:gd name="connsiteY2" fmla="*/ 2585036 h 2585036"/>
          </a:gdLst>
          <a:ahLst/>
          <a:cxnLst>
            <a:cxn ang="0">
              <a:pos x="connsiteX0" y="connsiteY0"/>
            </a:cxn>
            <a:cxn ang="0">
              <a:pos x="connsiteX1" y="connsiteY1"/>
            </a:cxn>
            <a:cxn ang="0">
              <a:pos x="connsiteX2" y="connsiteY2"/>
            </a:cxn>
          </a:cxnLst>
          <a:rect l="l" t="t" r="r" b="b"/>
          <a:pathLst>
            <a:path w="1387092" h="2585036">
              <a:moveTo>
                <a:pt x="0" y="0"/>
              </a:moveTo>
              <a:cubicBezTo>
                <a:pt x="190650" y="858676"/>
                <a:pt x="381300" y="1717353"/>
                <a:pt x="612482" y="2148192"/>
              </a:cubicBezTo>
              <a:cubicBezTo>
                <a:pt x="843664" y="2579031"/>
                <a:pt x="1115378" y="2582033"/>
                <a:pt x="1387092" y="2585036"/>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12</xdr:col>
      <xdr:colOff>117093</xdr:colOff>
      <xdr:row>140</xdr:row>
      <xdr:rowOff>38190</xdr:rowOff>
    </xdr:from>
    <xdr:ext cx="1230963"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𝑁</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𝑁𝑃𝑉(𝑁)</a:t>
              </a:r>
              <a:endParaRPr lang="en-US" sz="1100"/>
            </a:p>
          </xdr:txBody>
        </xdr:sp>
      </mc:Fallback>
    </mc:AlternateContent>
    <xdr:clientData/>
  </xdr:oneCellAnchor>
  <xdr:oneCellAnchor>
    <xdr:from>
      <xdr:col>12</xdr:col>
      <xdr:colOff>553937</xdr:colOff>
      <xdr:row>143</xdr:row>
      <xdr:rowOff>56204</xdr:rowOff>
    </xdr:from>
    <xdr:ext cx="1230963" cy="173766"/>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𝑀</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𝑁𝑃𝑉(𝑀)</a:t>
              </a:r>
              <a:endParaRPr lang="en-US" sz="1100"/>
            </a:p>
          </xdr:txBody>
        </xdr:sp>
      </mc:Fallback>
    </mc:AlternateContent>
    <xdr:clientData/>
  </xdr:oneCellAnchor>
  <xdr:oneCellAnchor>
    <xdr:from>
      <xdr:col>14</xdr:col>
      <xdr:colOff>616986</xdr:colOff>
      <xdr:row>130</xdr:row>
      <xdr:rowOff>141770</xdr:rowOff>
    </xdr:from>
    <xdr:ext cx="1690324" cy="173766"/>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15,605</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15,605</a:t>
              </a:r>
              <a:endParaRPr lang="en-US" sz="1100"/>
            </a:p>
          </xdr:txBody>
        </xdr:sp>
      </mc:Fallback>
    </mc:AlternateContent>
    <xdr:clientData/>
  </xdr:oneCellAnchor>
  <xdr:oneCellAnchor>
    <xdr:from>
      <xdr:col>14</xdr:col>
      <xdr:colOff>644007</xdr:colOff>
      <xdr:row>143</xdr:row>
      <xdr:rowOff>96736</xdr:rowOff>
    </xdr:from>
    <xdr:ext cx="1690324" cy="17376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−30,000</a:t>
              </a:r>
              <a:endParaRPr lang="en-US" sz="1100"/>
            </a:p>
          </xdr:txBody>
        </xdr:sp>
      </mc:Fallback>
    </mc:AlternateContent>
    <xdr:clientData/>
  </xdr:oneCellAnchor>
  <xdr:oneCellAnchor>
    <xdr:from>
      <xdr:col>13</xdr:col>
      <xdr:colOff>789247</xdr:colOff>
      <xdr:row>138</xdr:row>
      <xdr:rowOff>112127</xdr:rowOff>
    </xdr:from>
    <xdr:ext cx="1690324" cy="94770"/>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11.72%</m:t>
                    </m:r>
                  </m:oMath>
                </m:oMathPara>
              </a14:m>
              <a:endParaRPr lang="en-US" sz="600"/>
            </a:p>
          </xdr:txBody>
        </xdr:sp>
      </mc:Choice>
      <mc:Fallback xmlns="">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11.72%</a:t>
              </a:r>
              <a:endParaRPr lang="en-US" sz="600"/>
            </a:p>
          </xdr:txBody>
        </xdr:sp>
      </mc:Fallback>
    </mc:AlternateContent>
    <xdr:clientData/>
  </xdr:oneCellAnchor>
  <xdr:twoCellAnchor editAs="oneCell">
    <xdr:from>
      <xdr:col>15</xdr:col>
      <xdr:colOff>150900</xdr:colOff>
      <xdr:row>134</xdr:row>
      <xdr:rowOff>181429</xdr:rowOff>
    </xdr:from>
    <xdr:to>
      <xdr:col>15</xdr:col>
      <xdr:colOff>268133</xdr:colOff>
      <xdr:row>135</xdr:row>
      <xdr:rowOff>121176</xdr:rowOff>
    </xdr:to>
    <xdr:pic>
      <xdr:nvPicPr>
        <xdr:cNvPr id="38" name="Picture 37">
          <a:extLst>
            <a:ext uri="{FF2B5EF4-FFF2-40B4-BE49-F238E27FC236}">
              <a16:creationId xmlns:a16="http://schemas.microsoft.com/office/drawing/2014/main" id="{2C25A6C8-8376-031E-C99D-342E597B3EC5}"/>
            </a:ext>
          </a:extLst>
        </xdr:cNvPr>
        <xdr:cNvPicPr>
          <a:picLocks noChangeAspect="1"/>
        </xdr:cNvPicPr>
      </xdr:nvPicPr>
      <xdr:blipFill>
        <a:blip xmlns:r="http://schemas.openxmlformats.org/officeDocument/2006/relationships" r:embed="rId5"/>
        <a:stretch>
          <a:fillRect/>
        </a:stretch>
      </xdr:blipFill>
      <xdr:spPr>
        <a:xfrm>
          <a:off x="13494105727" y="27911354"/>
          <a:ext cx="117233" cy="143456"/>
        </a:xfrm>
        <a:prstGeom prst="rect">
          <a:avLst/>
        </a:prstGeom>
      </xdr:spPr>
    </xdr:pic>
    <xdr:clientData/>
  </xdr:twoCellAnchor>
  <xdr:oneCellAnchor>
    <xdr:from>
      <xdr:col>4</xdr:col>
      <xdr:colOff>471079</xdr:colOff>
      <xdr:row>214</xdr:row>
      <xdr:rowOff>125279</xdr:rowOff>
    </xdr:from>
    <xdr:ext cx="2341510" cy="416909"/>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nary>
                      <m:naryPr>
                        <m:chr m:val="∑"/>
                        <m:subHide m:val="on"/>
                        <m:supHide m:val="on"/>
                        <m:ctrlPr>
                          <a:rPr lang="en-US" sz="1100" b="0" i="1">
                            <a:latin typeface="Cambria Math" panose="02040503050406030204" pitchFamily="18" charset="0"/>
                          </a:rPr>
                        </m:ctrlPr>
                      </m:naryPr>
                      <m:sub/>
                      <m:sup/>
                      <m:e>
                        <m:f>
                          <m:fPr>
                            <m:ctrlPr>
                              <a:rPr lang="en-US" sz="1100" b="0" i="1">
                                <a:latin typeface="Cambria Math" panose="02040503050406030204" pitchFamily="18" charset="0"/>
                              </a:rPr>
                            </m:ctrlPr>
                          </m:fPr>
                          <m:num>
                            <m:r>
                              <a:rPr lang="en-US" sz="1100" b="0" i="1">
                                <a:latin typeface="Cambria Math" panose="02040503050406030204" pitchFamily="18" charset="0"/>
                              </a:rPr>
                              <m:t>𝐶</m:t>
                            </m:r>
                            <m:sSub>
                              <m:sSubPr>
                                <m:ctrlPr>
                                  <a:rPr lang="en-US" sz="1100" b="0" i="1">
                                    <a:latin typeface="Cambria Math" panose="02040503050406030204" pitchFamily="18" charset="0"/>
                                  </a:rPr>
                                </m:ctrlPr>
                              </m:sSubPr>
                              <m:e>
                                <m:r>
                                  <a:rPr lang="en-US" sz="1100" b="0" i="1">
                                    <a:latin typeface="Cambria Math" panose="02040503050406030204" pitchFamily="18" charset="0"/>
                                  </a:rPr>
                                  <m:t>𝐹</m:t>
                                </m:r>
                              </m:e>
                              <m:sub>
                                <m:r>
                                  <a:rPr lang="en-US" sz="1100" b="0" i="1">
                                    <a:latin typeface="Cambria Math" panose="02040503050406030204" pitchFamily="18" charset="0"/>
                                  </a:rPr>
                                  <m:t>𝑡</m:t>
                                </m:r>
                              </m:sub>
                            </m:sSub>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𝐼𝑅𝑅</m:t>
                                    </m:r>
                                  </m:e>
                                </m:d>
                              </m:e>
                              <m:sup>
                                <m:r>
                                  <a:rPr lang="en-US" sz="1100" b="0" i="1">
                                    <a:latin typeface="Cambria Math" panose="02040503050406030204" pitchFamily="18" charset="0"/>
                                  </a:rPr>
                                  <m:t>𝑡</m:t>
                                </m:r>
                              </m:sup>
                            </m:sSup>
                          </m:den>
                        </m:f>
                        <m:r>
                          <a:rPr lang="en-US" sz="1100" b="0" i="1">
                            <a:latin typeface="Cambria Math" panose="02040503050406030204" pitchFamily="18" charset="0"/>
                          </a:rPr>
                          <m:t>=0</m:t>
                        </m:r>
                      </m:e>
                    </m:nary>
                  </m:oMath>
                </m:oMathPara>
              </a14:m>
              <a:endParaRPr lang="en-US" sz="1100"/>
            </a:p>
          </xdr:txBody>
        </xdr:sp>
      </mc:Choice>
      <mc:Fallback xmlns="">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𝐼_0+∑▒〖(𝐶𝐹_𝑡)/(1+𝐼𝑅𝑅)^𝑡 =0〗</a:t>
              </a:r>
              <a:endParaRPr lang="en-US" sz="1100"/>
            </a:p>
          </xdr:txBody>
        </xdr:sp>
      </mc:Fallback>
    </mc:AlternateContent>
    <xdr:clientData/>
  </xdr:oneCellAnchor>
  <xdr:oneCellAnchor>
    <xdr:from>
      <xdr:col>0</xdr:col>
      <xdr:colOff>432882</xdr:colOff>
      <xdr:row>221</xdr:row>
      <xdr:rowOff>147561</xdr:rowOff>
    </xdr:from>
    <xdr:ext cx="2020032" cy="32079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he-IL"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𝐼𝑅𝑅</m:t>
                        </m:r>
                      </m:den>
                    </m:f>
                  </m:oMath>
                </m:oMathPara>
              </a14:m>
              <a:endParaRPr lang="en-US" sz="1100"/>
            </a:p>
          </xdr:txBody>
        </xdr:sp>
      </mc:Choice>
      <mc:Fallback xmlns="">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𝐼𝑅𝑅)</a:t>
              </a:r>
              <a:endParaRPr lang="en-US" sz="1100"/>
            </a:p>
          </xdr:txBody>
        </xdr:sp>
      </mc:Fallback>
    </mc:AlternateContent>
    <xdr:clientData/>
  </xdr:oneCellAnchor>
  <xdr:oneCellAnchor>
    <xdr:from>
      <xdr:col>3</xdr:col>
      <xdr:colOff>164536</xdr:colOff>
      <xdr:row>223</xdr:row>
      <xdr:rowOff>163916</xdr:rowOff>
    </xdr:from>
    <xdr:ext cx="4252551" cy="17722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r>
                      <a:rPr lang="en-US" sz="1100" b="0" i="1">
                        <a:latin typeface="Cambria Math" panose="02040503050406030204" pitchFamily="18" charset="0"/>
                      </a:rPr>
                      <m:t>90</m:t>
                    </m:r>
                    <m:r>
                      <a:rPr lang="en-US" sz="1100" b="0" i="1">
                        <a:latin typeface="Cambria Math" panose="02040503050406030204" pitchFamily="18" charset="0"/>
                      </a:rPr>
                      <m:t>𝑋</m:t>
                    </m:r>
                    <m:r>
                      <a:rPr lang="en-US" sz="1100" b="0" i="1">
                        <a:solidFill>
                          <a:srgbClr val="D883FF"/>
                        </a:solidFill>
                        <a:latin typeface="Cambria Math" panose="02040503050406030204" pitchFamily="18" charset="0"/>
                      </a:rPr>
                      <m:t>−</m:t>
                    </m:r>
                    <m:r>
                      <a:rPr lang="en-US" sz="1100" b="0" i="1">
                        <a:latin typeface="Cambria Math" panose="02040503050406030204" pitchFamily="18" charset="0"/>
                      </a:rPr>
                      <m:t>90</m:t>
                    </m:r>
                    <m:sSup>
                      <m:sSupPr>
                        <m:ctrlPr>
                          <a:rPr lang="en-US" sz="1100" b="0" i="1">
                            <a:latin typeface="Cambria Math" panose="02040503050406030204" pitchFamily="18" charset="0"/>
                          </a:rPr>
                        </m:ctrlPr>
                      </m:sSupPr>
                      <m:e>
                        <m:r>
                          <a:rPr lang="en-US" sz="1100" b="0" i="1">
                            <a:latin typeface="Cambria Math" panose="02040503050406030204" pitchFamily="18" charset="0"/>
                          </a:rPr>
                          <m:t>𝑋</m:t>
                        </m:r>
                      </m:e>
                      <m:sup>
                        <m:r>
                          <a:rPr lang="en-US" sz="1100" b="0" i="1">
                            <a:latin typeface="Cambria Math" panose="02040503050406030204" pitchFamily="18" charset="0"/>
                          </a:rPr>
                          <m:t>2</m:t>
                        </m:r>
                      </m:sup>
                    </m:sSup>
                    <m:r>
                      <a:rPr lang="en-US" sz="1100" b="0" i="1">
                        <a:latin typeface="Cambria Math" panose="02040503050406030204" pitchFamily="18" charset="0"/>
                      </a:rPr>
                      <m:t>=0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90𝑋</a:t>
              </a:r>
              <a:r>
                <a:rPr lang="en-US" sz="1100" b="0" i="0">
                  <a:solidFill>
                    <a:srgbClr val="D883FF"/>
                  </a:solidFill>
                  <a:latin typeface="Cambria Math" panose="02040503050406030204" pitchFamily="18" charset="0"/>
                </a:rPr>
                <a:t>−</a:t>
              </a:r>
              <a:r>
                <a:rPr lang="en-US" sz="1100" b="0" i="0">
                  <a:latin typeface="Cambria Math" panose="02040503050406030204" pitchFamily="18" charset="0"/>
                </a:rPr>
                <a:t>90𝑋^2=0</a:t>
              </a:r>
              <a:endParaRPr lang="en-US" sz="1100"/>
            </a:p>
          </xdr:txBody>
        </xdr:sp>
      </mc:Fallback>
    </mc:AlternateContent>
    <xdr:clientData/>
  </xdr:oneCellAnchor>
  <xdr:twoCellAnchor>
    <xdr:from>
      <xdr:col>5</xdr:col>
      <xdr:colOff>639775</xdr:colOff>
      <xdr:row>221</xdr:row>
      <xdr:rowOff>50927</xdr:rowOff>
    </xdr:from>
    <xdr:to>
      <xdr:col>5</xdr:col>
      <xdr:colOff>697068</xdr:colOff>
      <xdr:row>223</xdr:row>
      <xdr:rowOff>143233</xdr:rowOff>
    </xdr:to>
    <xdr:cxnSp macro="">
      <xdr:nvCxnSpPr>
        <xdr:cNvPr id="43" name="Straight Arrow Connector 42">
          <a:extLst>
            <a:ext uri="{FF2B5EF4-FFF2-40B4-BE49-F238E27FC236}">
              <a16:creationId xmlns:a16="http://schemas.microsoft.com/office/drawing/2014/main" id="{48AF5B29-6C2A-5EA8-9372-5C353B004C05}"/>
            </a:ext>
          </a:extLst>
        </xdr:cNvPr>
        <xdr:cNvCxnSpPr/>
      </xdr:nvCxnSpPr>
      <xdr:spPr>
        <a:xfrm flipH="1">
          <a:off x="13501984311" y="45579950"/>
          <a:ext cx="57293" cy="4997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732081</xdr:colOff>
      <xdr:row>221</xdr:row>
      <xdr:rowOff>44561</xdr:rowOff>
    </xdr:from>
    <xdr:to>
      <xdr:col>5</xdr:col>
      <xdr:colOff>254637</xdr:colOff>
      <xdr:row>223</xdr:row>
      <xdr:rowOff>140050</xdr:rowOff>
    </xdr:to>
    <xdr:cxnSp macro="">
      <xdr:nvCxnSpPr>
        <xdr:cNvPr id="44" name="Straight Arrow Connector 43">
          <a:extLst>
            <a:ext uri="{FF2B5EF4-FFF2-40B4-BE49-F238E27FC236}">
              <a16:creationId xmlns:a16="http://schemas.microsoft.com/office/drawing/2014/main" id="{6F12BD70-D81C-1A2A-67BA-37542A567C3B}"/>
            </a:ext>
          </a:extLst>
        </xdr:cNvPr>
        <xdr:cNvCxnSpPr/>
      </xdr:nvCxnSpPr>
      <xdr:spPr>
        <a:xfrm flipH="1">
          <a:off x="13502426742" y="45573584"/>
          <a:ext cx="346942" cy="5029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261003</xdr:colOff>
      <xdr:row>224</xdr:row>
      <xdr:rowOff>175063</xdr:rowOff>
    </xdr:from>
    <xdr:to>
      <xdr:col>5</xdr:col>
      <xdr:colOff>267369</xdr:colOff>
      <xdr:row>226</xdr:row>
      <xdr:rowOff>50927</xdr:rowOff>
    </xdr:to>
    <xdr:cxnSp macro="">
      <xdr:nvCxnSpPr>
        <xdr:cNvPr id="46" name="Straight Arrow Connector 45">
          <a:extLst>
            <a:ext uri="{FF2B5EF4-FFF2-40B4-BE49-F238E27FC236}">
              <a16:creationId xmlns:a16="http://schemas.microsoft.com/office/drawing/2014/main" id="{F9232CD2-C714-52AE-FA82-7613394DAF9F}"/>
            </a:ext>
          </a:extLst>
        </xdr:cNvPr>
        <xdr:cNvCxnSpPr/>
      </xdr:nvCxnSpPr>
      <xdr:spPr>
        <a:xfrm>
          <a:off x="13502414010" y="46315213"/>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645161</xdr:colOff>
      <xdr:row>226</xdr:row>
      <xdr:rowOff>49329</xdr:rowOff>
    </xdr:from>
    <xdr:ext cx="4252551" cy="17722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𝑎</m:t>
                    </m:r>
                    <m:r>
                      <a:rPr lang="en-US" sz="1100" b="0" i="1">
                        <a:latin typeface="Cambria Math" panose="02040503050406030204" pitchFamily="18" charset="0"/>
                      </a:rPr>
                      <m:t>=−90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𝑎=−90</a:t>
              </a:r>
              <a:endParaRPr lang="en-US" sz="1100"/>
            </a:p>
          </xdr:txBody>
        </xdr:sp>
      </mc:Fallback>
    </mc:AlternateContent>
    <xdr:clientData/>
  </xdr:oneCellAnchor>
  <xdr:oneCellAnchor>
    <xdr:from>
      <xdr:col>3</xdr:col>
      <xdr:colOff>486013</xdr:colOff>
      <xdr:row>226</xdr:row>
      <xdr:rowOff>62061</xdr:rowOff>
    </xdr:from>
    <xdr:ext cx="4252551" cy="177228"/>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𝑏</m:t>
                    </m:r>
                    <m:r>
                      <a:rPr lang="en-US" sz="1100" b="0" i="1">
                        <a:latin typeface="Cambria Math" panose="02040503050406030204" pitchFamily="18" charset="0"/>
                      </a:rPr>
                      <m:t>=90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𝑏=90</a:t>
              </a:r>
              <a:endParaRPr lang="en-US" sz="1100"/>
            </a:p>
          </xdr:txBody>
        </xdr:sp>
      </mc:Fallback>
    </mc:AlternateContent>
    <xdr:clientData/>
  </xdr:oneCellAnchor>
  <xdr:twoCellAnchor>
    <xdr:from>
      <xdr:col>5</xdr:col>
      <xdr:colOff>757544</xdr:colOff>
      <xdr:row>224</xdr:row>
      <xdr:rowOff>159148</xdr:rowOff>
    </xdr:from>
    <xdr:to>
      <xdr:col>5</xdr:col>
      <xdr:colOff>763910</xdr:colOff>
      <xdr:row>226</xdr:row>
      <xdr:rowOff>35012</xdr:rowOff>
    </xdr:to>
    <xdr:cxnSp macro="">
      <xdr:nvCxnSpPr>
        <xdr:cNvPr id="50" name="Straight Arrow Connector 49">
          <a:extLst>
            <a:ext uri="{FF2B5EF4-FFF2-40B4-BE49-F238E27FC236}">
              <a16:creationId xmlns:a16="http://schemas.microsoft.com/office/drawing/2014/main" id="{8CD0C4EB-3FB6-EA15-BC19-04C4B7F84328}"/>
            </a:ext>
          </a:extLst>
        </xdr:cNvPr>
        <xdr:cNvCxnSpPr/>
      </xdr:nvCxnSpPr>
      <xdr:spPr>
        <a:xfrm>
          <a:off x="13501917469" y="46299298"/>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248270</xdr:colOff>
      <xdr:row>224</xdr:row>
      <xdr:rowOff>146416</xdr:rowOff>
    </xdr:from>
    <xdr:to>
      <xdr:col>6</xdr:col>
      <xdr:colOff>493357</xdr:colOff>
      <xdr:row>226</xdr:row>
      <xdr:rowOff>41378</xdr:rowOff>
    </xdr:to>
    <xdr:cxnSp macro="">
      <xdr:nvCxnSpPr>
        <xdr:cNvPr id="51" name="Straight Arrow Connector 50">
          <a:extLst>
            <a:ext uri="{FF2B5EF4-FFF2-40B4-BE49-F238E27FC236}">
              <a16:creationId xmlns:a16="http://schemas.microsoft.com/office/drawing/2014/main" id="{4E19EB88-47BE-B120-8831-F78DBCB0B874}"/>
            </a:ext>
          </a:extLst>
        </xdr:cNvPr>
        <xdr:cNvCxnSpPr/>
      </xdr:nvCxnSpPr>
      <xdr:spPr>
        <a:xfrm flipH="1">
          <a:off x="13501299976" y="46286566"/>
          <a:ext cx="245087" cy="3023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193182</xdr:colOff>
      <xdr:row>226</xdr:row>
      <xdr:rowOff>71610</xdr:rowOff>
    </xdr:from>
    <xdr:ext cx="4252551" cy="1772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r>
                      <a:rPr lang="en-US" sz="1100" b="0" i="1">
                        <a:latin typeface="Cambria Math" panose="02040503050406030204" pitchFamily="18" charset="0"/>
                      </a:rPr>
                      <m:t>=−18</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𝐶=−18</a:t>
              </a:r>
              <a:endParaRPr lang="en-US" sz="1100"/>
            </a:p>
          </xdr:txBody>
        </xdr:sp>
      </mc:Fallback>
    </mc:AlternateContent>
    <xdr:clientData/>
  </xdr:oneCellAnchor>
  <xdr:twoCellAnchor>
    <xdr:from>
      <xdr:col>4</xdr:col>
      <xdr:colOff>652504</xdr:colOff>
      <xdr:row>227</xdr:row>
      <xdr:rowOff>42970</xdr:rowOff>
    </xdr:from>
    <xdr:to>
      <xdr:col>7</xdr:col>
      <xdr:colOff>109810</xdr:colOff>
      <xdr:row>227</xdr:row>
      <xdr:rowOff>178246</xdr:rowOff>
    </xdr:to>
    <xdr:sp macro="" textlink="">
      <xdr:nvSpPr>
        <xdr:cNvPr id="54" name="Left Brace 53">
          <a:extLst>
            <a:ext uri="{FF2B5EF4-FFF2-40B4-BE49-F238E27FC236}">
              <a16:creationId xmlns:a16="http://schemas.microsoft.com/office/drawing/2014/main" id="{EEEA347F-E545-3D9D-952E-9687F8073ABB}"/>
            </a:ext>
          </a:extLst>
        </xdr:cNvPr>
        <xdr:cNvSpPr/>
      </xdr:nvSpPr>
      <xdr:spPr>
        <a:xfrm rot="16200000">
          <a:off x="13501788561" y="45864824"/>
          <a:ext cx="135276" cy="199412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369224</xdr:colOff>
      <xdr:row>228</xdr:row>
      <xdr:rowOff>87525</xdr:rowOff>
    </xdr:from>
    <xdr:ext cx="5445182" cy="444029"/>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1</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=261.8%</m:t>
                    </m:r>
                  </m:oMath>
                </m:oMathPara>
              </a14:m>
              <a:endParaRPr lang="en-US" sz="1100" b="0">
                <a:solidFill>
                  <a:sysClr val="windowText" lastClr="000000"/>
                </a:solidFill>
              </a:endParaRPr>
            </a:p>
            <a:p>
              <a:pPr algn="r" rtl="1"/>
              <a:endParaRPr lang="en-US" sz="1100"/>
            </a:p>
          </xdr:txBody>
        </xdr:sp>
      </mc:Choice>
      <mc:Fallback xmlns="">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𝑋_1=0.723→1/(1+𝐼𝑅𝑅)=0.723→𝐼𝑅𝑅=261.8%</a:t>
              </a:r>
              <a:endParaRPr lang="en-US" sz="1100" b="0">
                <a:solidFill>
                  <a:sysClr val="windowText" lastClr="000000"/>
                </a:solidFill>
              </a:endParaRPr>
            </a:p>
            <a:p>
              <a:pPr algn="r" rtl="1"/>
              <a:endParaRPr lang="en-US" sz="1100"/>
            </a:p>
          </xdr:txBody>
        </xdr:sp>
      </mc:Fallback>
    </mc:AlternateContent>
    <xdr:clientData/>
  </xdr:oneCellAnchor>
  <xdr:oneCellAnchor>
    <xdr:from>
      <xdr:col>2</xdr:col>
      <xdr:colOff>814837</xdr:colOff>
      <xdr:row>230</xdr:row>
      <xdr:rowOff>100257</xdr:rowOff>
    </xdr:from>
    <xdr:ext cx="4684456" cy="405834"/>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2</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=38.1966%</m:t>
                    </m:r>
                  </m:oMath>
                </m:oMathPara>
              </a14:m>
              <a:endParaRPr lang="en-US" sz="1100" b="0">
                <a:solidFill>
                  <a:sysClr val="windowText" lastClr="000000"/>
                </a:solidFill>
              </a:endParaRPr>
            </a:p>
            <a:p>
              <a:pPr algn="r" rtl="1"/>
              <a:endParaRPr lang="en-US" sz="1100"/>
            </a:p>
          </xdr:txBody>
        </xdr:sp>
      </mc:Choice>
      <mc:Fallback xmlns="">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𝑋_2=0.27→1/(1+𝐼𝑅𝑅)=0.27→𝐼𝑅𝑅=38.1966%</a:t>
              </a:r>
              <a:endParaRPr lang="en-US" sz="1100" b="0">
                <a:solidFill>
                  <a:sysClr val="windowText" lastClr="000000"/>
                </a:solidFill>
              </a:endParaRPr>
            </a:p>
            <a:p>
              <a:pPr algn="r" rtl="1"/>
              <a:endParaRPr lang="en-US" sz="1100"/>
            </a:p>
          </xdr:txBody>
        </xdr:sp>
      </mc:Fallback>
    </mc:AlternateContent>
    <xdr:clientData/>
  </xdr:oneCellAnchor>
</xdr:wsDr>
</file>

<file path=xl/drawings/drawing9.xml><?xml version="1.0" encoding="utf-8"?>
<xdr:wsDr xmlns:xdr="http://schemas.openxmlformats.org/drawingml/2006/spreadsheetDrawing" xmlns:a="http://schemas.openxmlformats.org/drawingml/2006/main">
  <xdr:twoCellAnchor>
    <xdr:from>
      <xdr:col>3</xdr:col>
      <xdr:colOff>697458</xdr:colOff>
      <xdr:row>812</xdr:row>
      <xdr:rowOff>10410</xdr:rowOff>
    </xdr:from>
    <xdr:to>
      <xdr:col>4</xdr:col>
      <xdr:colOff>640204</xdr:colOff>
      <xdr:row>813</xdr:row>
      <xdr:rowOff>83279</xdr:rowOff>
    </xdr:to>
    <xdr:cxnSp macro="">
      <xdr:nvCxnSpPr>
        <xdr:cNvPr id="2" name="Straight Arrow Connector 1">
          <a:extLst>
            <a:ext uri="{FF2B5EF4-FFF2-40B4-BE49-F238E27FC236}">
              <a16:creationId xmlns:a16="http://schemas.microsoft.com/office/drawing/2014/main" id="{4FA7AC1D-D611-EC42-8638-E1C0D2D195D2}"/>
            </a:ext>
          </a:extLst>
        </xdr:cNvPr>
        <xdr:cNvCxnSpPr/>
      </xdr:nvCxnSpPr>
      <xdr:spPr>
        <a:xfrm flipH="1" flipV="1">
          <a:off x="13521049796" y="17307810"/>
          <a:ext cx="768246" cy="2760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728688</xdr:colOff>
      <xdr:row>813</xdr:row>
      <xdr:rowOff>98894</xdr:rowOff>
    </xdr:from>
    <xdr:to>
      <xdr:col>4</xdr:col>
      <xdr:colOff>504876</xdr:colOff>
      <xdr:row>814</xdr:row>
      <xdr:rowOff>150943</xdr:rowOff>
    </xdr:to>
    <xdr:cxnSp macro="">
      <xdr:nvCxnSpPr>
        <xdr:cNvPr id="3" name="Straight Arrow Connector 2">
          <a:extLst>
            <a:ext uri="{FF2B5EF4-FFF2-40B4-BE49-F238E27FC236}">
              <a16:creationId xmlns:a16="http://schemas.microsoft.com/office/drawing/2014/main" id="{17E20411-6CA4-9541-B0E2-3DC7FBB18FB2}"/>
            </a:ext>
          </a:extLst>
        </xdr:cNvPr>
        <xdr:cNvCxnSpPr/>
      </xdr:nvCxnSpPr>
      <xdr:spPr>
        <a:xfrm flipH="1">
          <a:off x="13521185124" y="17599494"/>
          <a:ext cx="601688" cy="2552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301884</xdr:colOff>
      <xdr:row>797</xdr:row>
      <xdr:rowOff>197786</xdr:rowOff>
    </xdr:from>
    <xdr:to>
      <xdr:col>1</xdr:col>
      <xdr:colOff>530900</xdr:colOff>
      <xdr:row>800</xdr:row>
      <xdr:rowOff>156148</xdr:rowOff>
    </xdr:to>
    <xdr:sp macro="" textlink="">
      <xdr:nvSpPr>
        <xdr:cNvPr id="4" name="Down Arrow 3">
          <a:extLst>
            <a:ext uri="{FF2B5EF4-FFF2-40B4-BE49-F238E27FC236}">
              <a16:creationId xmlns:a16="http://schemas.microsoft.com/office/drawing/2014/main" id="{2AC58300-B6F3-694C-9D55-6F93F3BD0CC7}"/>
            </a:ext>
          </a:extLst>
        </xdr:cNvPr>
        <xdr:cNvSpPr/>
      </xdr:nvSpPr>
      <xdr:spPr>
        <a:xfrm>
          <a:off x="13523902300" y="14421786"/>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239426</xdr:colOff>
      <xdr:row>797</xdr:row>
      <xdr:rowOff>192580</xdr:rowOff>
    </xdr:from>
    <xdr:to>
      <xdr:col>3</xdr:col>
      <xdr:colOff>468442</xdr:colOff>
      <xdr:row>800</xdr:row>
      <xdr:rowOff>150942</xdr:rowOff>
    </xdr:to>
    <xdr:sp macro="" textlink="">
      <xdr:nvSpPr>
        <xdr:cNvPr id="5" name="Down Arrow 4">
          <a:extLst>
            <a:ext uri="{FF2B5EF4-FFF2-40B4-BE49-F238E27FC236}">
              <a16:creationId xmlns:a16="http://schemas.microsoft.com/office/drawing/2014/main" id="{94C45295-A883-D246-BF14-871621E5EF23}"/>
            </a:ext>
          </a:extLst>
        </xdr:cNvPr>
        <xdr:cNvSpPr/>
      </xdr:nvSpPr>
      <xdr:spPr>
        <a:xfrm>
          <a:off x="13522047058" y="14416580"/>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223477</xdr:colOff>
      <xdr:row>392</xdr:row>
      <xdr:rowOff>52435</xdr:rowOff>
    </xdr:from>
    <xdr:ext cx="1397908" cy="31579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r>
                      <a:rPr lang="he-IL"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תקבולים=</a:t>
              </a:r>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392448</xdr:colOff>
      <xdr:row>398</xdr:row>
      <xdr:rowOff>199602</xdr:rowOff>
    </xdr:from>
    <xdr:ext cx="2624303" cy="20031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oMath>
                </m:oMathPara>
              </a14:m>
              <a:endParaRPr lang="en-US" sz="1100"/>
            </a:p>
          </xdr:txBody>
        </xdr:sp>
      </mc:Choice>
      <mc:Fallback xmlns="">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𝑁𝑃𝑉=−𝐼_0+𝑃𝑉_</a:t>
              </a:r>
              <a:r>
                <a:rPr lang="he-IL" sz="1100" b="0" i="0">
                  <a:latin typeface="Cambria Math" panose="02040503050406030204" pitchFamily="18" charset="0"/>
                </a:rPr>
                <a:t>תקבולים</a:t>
              </a:r>
              <a:endParaRPr lang="en-US" sz="1100"/>
            </a:p>
          </xdr:txBody>
        </xdr:sp>
      </mc:Fallback>
    </mc:AlternateContent>
    <xdr:clientData/>
  </xdr:oneCellAnchor>
  <xdr:twoCellAnchor>
    <xdr:from>
      <xdr:col>3</xdr:col>
      <xdr:colOff>147167</xdr:colOff>
      <xdr:row>400</xdr:row>
      <xdr:rowOff>27254</xdr:rowOff>
    </xdr:from>
    <xdr:to>
      <xdr:col>3</xdr:col>
      <xdr:colOff>261631</xdr:colOff>
      <xdr:row>401</xdr:row>
      <xdr:rowOff>185322</xdr:rowOff>
    </xdr:to>
    <xdr:sp macro="" textlink="">
      <xdr:nvSpPr>
        <xdr:cNvPr id="8" name="Down Arrow 7">
          <a:extLst>
            <a:ext uri="{FF2B5EF4-FFF2-40B4-BE49-F238E27FC236}">
              <a16:creationId xmlns:a16="http://schemas.microsoft.com/office/drawing/2014/main" id="{32D2C420-CFFA-244C-85B3-B09D2BECD3CC}"/>
            </a:ext>
          </a:extLst>
        </xdr:cNvPr>
        <xdr:cNvSpPr/>
      </xdr:nvSpPr>
      <xdr:spPr>
        <a:xfrm>
          <a:off x="13522253869" y="26468654"/>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343390</xdr:colOff>
      <xdr:row>400</xdr:row>
      <xdr:rowOff>16352</xdr:rowOff>
    </xdr:from>
    <xdr:to>
      <xdr:col>2</xdr:col>
      <xdr:colOff>457854</xdr:colOff>
      <xdr:row>401</xdr:row>
      <xdr:rowOff>174420</xdr:rowOff>
    </xdr:to>
    <xdr:sp macro="" textlink="">
      <xdr:nvSpPr>
        <xdr:cNvPr id="9" name="Down Arrow 8">
          <a:extLst>
            <a:ext uri="{FF2B5EF4-FFF2-40B4-BE49-F238E27FC236}">
              <a16:creationId xmlns:a16="http://schemas.microsoft.com/office/drawing/2014/main" id="{7020CAF3-8CF0-374D-B669-AB03A09A29D5}"/>
            </a:ext>
          </a:extLst>
        </xdr:cNvPr>
        <xdr:cNvSpPr/>
      </xdr:nvSpPr>
      <xdr:spPr>
        <a:xfrm>
          <a:off x="13522883146" y="26457752"/>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801245</xdr:colOff>
      <xdr:row>405</xdr:row>
      <xdr:rowOff>36081</xdr:rowOff>
    </xdr:from>
    <xdr:ext cx="629368" cy="318209"/>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474208</xdr:colOff>
      <xdr:row>407</xdr:row>
      <xdr:rowOff>112392</xdr:rowOff>
    </xdr:from>
    <xdr:ext cx="2624303"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=−500+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75</m:t>
                        </m:r>
                      </m:num>
                      <m:den>
                        <m:r>
                          <a:rPr lang="en-US" sz="1100" b="0" i="1">
                            <a:solidFill>
                              <a:srgbClr val="FF0000"/>
                            </a:solidFill>
                            <a:latin typeface="Cambria Math" panose="02040503050406030204" pitchFamily="18" charset="0"/>
                          </a:rPr>
                          <m:t>𝑟</m:t>
                        </m:r>
                      </m:den>
                    </m:f>
                    <m:r>
                      <a:rPr lang="en-US"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𝑁𝑃𝑉=−500+</a:t>
              </a:r>
              <a:r>
                <a:rPr lang="he-IL" sz="1100" b="0" i="0">
                  <a:solidFill>
                    <a:srgbClr val="FF0000"/>
                  </a:solidFill>
                  <a:latin typeface="Cambria Math" panose="02040503050406030204" pitchFamily="18" charset="0"/>
                </a:rPr>
                <a:t>75/</a:t>
              </a:r>
              <a:r>
                <a:rPr lang="en-US" sz="1100" b="0" i="0">
                  <a:solidFill>
                    <a:srgbClr val="FF0000"/>
                  </a:solidFill>
                  <a:latin typeface="Cambria Math" panose="02040503050406030204" pitchFamily="18" charset="0"/>
                </a:rPr>
                <a:t>𝑟=20</a:t>
              </a:r>
              <a:endParaRPr lang="en-US" sz="1100"/>
            </a:p>
          </xdr:txBody>
        </xdr:sp>
      </mc:Fallback>
    </mc:AlternateContent>
    <xdr:clientData/>
  </xdr:oneCellAnchor>
  <xdr:oneCellAnchor>
    <xdr:from>
      <xdr:col>0</xdr:col>
      <xdr:colOff>1695150</xdr:colOff>
      <xdr:row>410</xdr:row>
      <xdr:rowOff>14281</xdr:rowOff>
    </xdr:from>
    <xdr:ext cx="3425548" cy="32149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75</m:t>
                        </m:r>
                      </m:num>
                      <m:den>
                        <m:r>
                          <a:rPr lang="en-US" sz="1100" b="0" i="1">
                            <a:latin typeface="Cambria Math" panose="02040503050406030204" pitchFamily="18" charset="0"/>
                          </a:rPr>
                          <m:t>𝑟</m:t>
                        </m:r>
                      </m:den>
                    </m:f>
                    <m:r>
                      <a:rPr lang="en-US" sz="1100" b="0" i="1">
                        <a:latin typeface="Cambria Math" panose="02040503050406030204" pitchFamily="18" charset="0"/>
                      </a:rPr>
                      <m:t>=520→520</m:t>
                    </m:r>
                    <m:r>
                      <a:rPr lang="en-US" sz="1100" b="0" i="1">
                        <a:latin typeface="Cambria Math" panose="02040503050406030204" pitchFamily="18" charset="0"/>
                      </a:rPr>
                      <m:t>𝑟</m:t>
                    </m:r>
                    <m:r>
                      <a:rPr lang="en-US" sz="1100" b="0" i="1">
                        <a:latin typeface="Cambria Math" panose="02040503050406030204" pitchFamily="18" charset="0"/>
                      </a:rPr>
                      <m:t>=75→</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75</m:t>
                        </m:r>
                      </m:num>
                      <m:den>
                        <m:r>
                          <a:rPr lang="en-US" sz="1100" b="0" i="1">
                            <a:latin typeface="Cambria Math" panose="02040503050406030204" pitchFamily="18" charset="0"/>
                          </a:rPr>
                          <m:t>520</m:t>
                        </m:r>
                      </m:den>
                    </m:f>
                    <m:r>
                      <a:rPr lang="en-US" sz="1100" b="0" i="1">
                        <a:latin typeface="Cambria Math" panose="02040503050406030204" pitchFamily="18" charset="0"/>
                      </a:rPr>
                      <m:t>=</m:t>
                    </m:r>
                    <m:r>
                      <a:rPr lang="en-US" sz="1100" b="1" i="1">
                        <a:solidFill>
                          <a:srgbClr val="00B050"/>
                        </a:solidFill>
                        <a:latin typeface="Cambria Math" panose="02040503050406030204" pitchFamily="18" charset="0"/>
                      </a:rPr>
                      <m:t>𝟏𝟒</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𝟒</m:t>
                    </m:r>
                    <m:r>
                      <a:rPr lang="en-US" sz="1100" b="1" i="1">
                        <a:solidFill>
                          <a:srgbClr val="00B050"/>
                        </a:solidFill>
                        <a:latin typeface="Cambria Math" panose="02040503050406030204" pitchFamily="18" charset="0"/>
                      </a:rPr>
                      <m:t>%</m:t>
                    </m:r>
                  </m:oMath>
                </m:oMathPara>
              </a14:m>
              <a:endParaRPr lang="en-US" sz="1100" b="1"/>
            </a:p>
          </xdr:txBody>
        </xdr:sp>
      </mc:Choice>
      <mc:Fallback xmlns="">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75/</a:t>
              </a:r>
              <a:r>
                <a:rPr lang="en-US" sz="1100" b="0" i="0">
                  <a:latin typeface="Cambria Math" panose="02040503050406030204" pitchFamily="18" charset="0"/>
                </a:rPr>
                <a:t>𝑟=520→520𝑟=75→𝑟=75/520=</a:t>
              </a:r>
              <a:r>
                <a:rPr lang="en-US" sz="1100" b="1" i="0">
                  <a:solidFill>
                    <a:srgbClr val="00B050"/>
                  </a:solidFill>
                  <a:latin typeface="Cambria Math" panose="02040503050406030204" pitchFamily="18" charset="0"/>
                </a:rPr>
                <a:t>𝟏𝟒.𝟒%</a:t>
              </a:r>
              <a:endParaRPr lang="en-US" sz="1100" b="1"/>
            </a:p>
          </xdr:txBody>
        </xdr:sp>
      </mc:Fallback>
    </mc:AlternateContent>
    <xdr:clientData/>
  </xdr:oneCellAnchor>
  <xdr:oneCellAnchor>
    <xdr:from>
      <xdr:col>1</xdr:col>
      <xdr:colOff>332491</xdr:colOff>
      <xdr:row>415</xdr:row>
      <xdr:rowOff>30632</xdr:rowOff>
    </xdr:from>
    <xdr:ext cx="2624303" cy="31579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190774</xdr:colOff>
      <xdr:row>462</xdr:row>
      <xdr:rowOff>139644</xdr:rowOff>
    </xdr:from>
    <xdr:ext cx="2624303" cy="31579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201675</xdr:colOff>
      <xdr:row>469</xdr:row>
      <xdr:rowOff>3379</xdr:rowOff>
    </xdr:from>
    <xdr:ext cx="2624303" cy="32034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m:t>
                    </m:r>
                    <m:r>
                      <a:rPr lang="he-IL" sz="1100" b="0" i="1">
                        <a:latin typeface="Cambria Math" panose="02040503050406030204" pitchFamily="18" charset="0"/>
                      </a:rPr>
                      <m:t>200</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m:t>
                        </m:r>
                      </m:num>
                      <m:den>
                        <m:r>
                          <a:rPr lang="en-US" sz="1100" b="0" i="1">
                            <a:latin typeface="Cambria Math" panose="02040503050406030204" pitchFamily="18" charset="0"/>
                          </a:rPr>
                          <m:t>𝐼𝑅𝑅</m:t>
                        </m:r>
                      </m:den>
                    </m:f>
                    <m:r>
                      <a:rPr lang="en-US" sz="1100" b="0" i="1">
                        <a:latin typeface="Cambria Math" panose="02040503050406030204" pitchFamily="18" charset="0"/>
                      </a:rPr>
                      <m:t>→</m:t>
                    </m:r>
                    <m:r>
                      <a:rPr lang="en-US" sz="1100" b="0" i="1">
                        <a:latin typeface="Cambria Math" panose="02040503050406030204" pitchFamily="18" charset="0"/>
                      </a:rPr>
                      <m:t>𝐼𝑅𝑅</m:t>
                    </m:r>
                    <m:r>
                      <a:rPr lang="en-US" sz="1100" b="0" i="1">
                        <a:latin typeface="Cambria Math" panose="02040503050406030204" pitchFamily="18" charset="0"/>
                      </a:rPr>
                      <m:t>=7.5%</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𝐼𝑅𝑅→𝐼𝑅𝑅=7.5%</a:t>
              </a:r>
              <a:endParaRPr lang="en-US" sz="1100"/>
            </a:p>
          </xdr:txBody>
        </xdr:sp>
      </mc:Fallback>
    </mc:AlternateContent>
    <xdr:clientData/>
  </xdr:oneCellAnchor>
  <xdr:oneCellAnchor>
    <xdr:from>
      <xdr:col>0</xdr:col>
      <xdr:colOff>1095580</xdr:colOff>
      <xdr:row>479</xdr:row>
      <xdr:rowOff>101490</xdr:rowOff>
    </xdr:from>
    <xdr:ext cx="3561814" cy="251800"/>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7 </m:t>
                                </m:r>
                                <m:r>
                                  <a:rPr lang="en-US" sz="1100" b="0" i="1">
                                    <a:latin typeface="Cambria Math" panose="02040503050406030204" pitchFamily="18" charset="0"/>
                                  </a:rPr>
                                  <m:t>𝑀𝑜𝑛𝑡h𝑠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𝐼𝑅𝑅_𝐴𝑁𝑁𝑈𝐴𝐿=(1+𝐼𝑅𝑅_(7 𝑀𝑜𝑛𝑡ℎ𝑠) )^(12/7)−1</a:t>
              </a:r>
              <a:endParaRPr lang="en-US" sz="1100"/>
            </a:p>
          </xdr:txBody>
        </xdr:sp>
      </mc:Fallback>
    </mc:AlternateContent>
    <xdr:clientData/>
  </xdr:oneCellAnchor>
  <xdr:oneCellAnchor>
    <xdr:from>
      <xdr:col>0</xdr:col>
      <xdr:colOff>1280902</xdr:colOff>
      <xdr:row>484</xdr:row>
      <xdr:rowOff>8829</xdr:rowOff>
    </xdr:from>
    <xdr:ext cx="3561814" cy="251800"/>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𝟏𝟑</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a:t>
              </a:r>
              <a:r>
                <a:rPr lang="he-IL" sz="1100" b="0" i="0">
                  <a:latin typeface="Cambria Math" panose="02040503050406030204" pitchFamily="18" charset="0"/>
                </a:rPr>
                <a:t>7.5%)</a:t>
              </a:r>
              <a:r>
                <a:rPr lang="en-US" sz="1100" b="0" i="0">
                  <a:latin typeface="Cambria Math" panose="02040503050406030204" pitchFamily="18" charset="0"/>
                </a:rPr>
                <a:t>^(12/7)−1</a:t>
              </a:r>
              <a:r>
                <a:rPr lang="he-IL" sz="1100" b="0" i="0">
                  <a:latin typeface="Cambria Math" panose="02040503050406030204" pitchFamily="18" charset="0"/>
                </a:rPr>
                <a:t>=</a:t>
              </a:r>
              <a:r>
                <a:rPr lang="he-IL" sz="1100" b="1" i="0">
                  <a:solidFill>
                    <a:srgbClr val="FF0000"/>
                  </a:solidFill>
                  <a:latin typeface="Cambria Math" panose="02040503050406030204" pitchFamily="18" charset="0"/>
                </a:rPr>
                <a:t>𝟏𝟑.𝟐%</a:t>
              </a:r>
              <a:endParaRPr lang="en-US" sz="1100" b="1"/>
            </a:p>
          </xdr:txBody>
        </xdr:sp>
      </mc:Fallback>
    </mc:AlternateContent>
    <xdr:clientData/>
  </xdr:oneCellAnchor>
  <xdr:oneCellAnchor>
    <xdr:from>
      <xdr:col>2</xdr:col>
      <xdr:colOff>436051</xdr:colOff>
      <xdr:row>941</xdr:row>
      <xdr:rowOff>155997</xdr:rowOff>
    </xdr:from>
    <xdr:ext cx="2177350" cy="34015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en-US" sz="1100" b="1" i="1">
                                    <a:latin typeface="Cambria Math" panose="02040503050406030204" pitchFamily="18" charset="0"/>
                                  </a:rPr>
                                  <m:t>𝑹</m:t>
                                </m:r>
                              </m:num>
                              <m:den>
                                <m:r>
                                  <a:rPr lang="en-US" sz="1100" b="1" i="1">
                                    <a:latin typeface="Cambria Math" panose="02040503050406030204" pitchFamily="18" charset="0"/>
                                  </a:rPr>
                                  <m:t>𝒏</m:t>
                                </m:r>
                              </m:den>
                            </m:f>
                          </m:e>
                        </m:d>
                      </m:e>
                      <m:sup>
                        <m:r>
                          <a:rPr lang="en-US" sz="1100" b="1" i="1">
                            <a:latin typeface="Cambria Math" panose="02040503050406030204" pitchFamily="18" charset="0"/>
                          </a:rPr>
                          <m:t>𝒎</m:t>
                        </m:r>
                      </m:sup>
                    </m:sSup>
                    <m:r>
                      <a:rPr lang="en-US" sz="1100" b="1" i="1">
                        <a:latin typeface="Cambria Math" panose="02040503050406030204" pitchFamily="18" charset="0"/>
                      </a:rPr>
                      <m:t>−</m:t>
                    </m:r>
                    <m:r>
                      <a:rPr lang="en-US" sz="1100" b="1" i="1">
                        <a:latin typeface="Cambria Math" panose="02040503050406030204" pitchFamily="18" charset="0"/>
                      </a:rPr>
                      <m:t>𝟏</m:t>
                    </m:r>
                  </m:oMath>
                </m:oMathPara>
              </a14:m>
              <a:endParaRPr lang="en-US" sz="1100" b="1"/>
            </a:p>
          </xdr:txBody>
        </xdr:sp>
      </mc:Choice>
      <mc:Fallback xmlns="">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𝒓_𝒆=(𝟏+𝑹/𝒏)^𝒎−𝟏</a:t>
              </a:r>
              <a:endParaRPr lang="en-US" sz="1100" b="1"/>
            </a:p>
          </xdr:txBody>
        </xdr:sp>
      </mc:Fallback>
    </mc:AlternateContent>
    <xdr:clientData/>
  </xdr:oneCellAnchor>
  <xdr:oneCellAnchor>
    <xdr:from>
      <xdr:col>2</xdr:col>
      <xdr:colOff>610471</xdr:colOff>
      <xdr:row>949</xdr:row>
      <xdr:rowOff>8830</xdr:rowOff>
    </xdr:from>
    <xdr:ext cx="2177350" cy="481670"/>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latin typeface="Cambria Math" panose="02040503050406030204" pitchFamily="18" charset="0"/>
                </a:rPr>
                <a:t>𝑑/𝑛)^𝑚 −1</a:t>
              </a:r>
              <a:endParaRPr lang="en-US" sz="1100"/>
            </a:p>
          </xdr:txBody>
        </xdr:sp>
      </mc:Fallback>
    </mc:AlternateContent>
    <xdr:clientData/>
  </xdr:oneCellAnchor>
  <xdr:oneCellAnchor>
    <xdr:from>
      <xdr:col>2</xdr:col>
      <xdr:colOff>474206</xdr:colOff>
      <xdr:row>957</xdr:row>
      <xdr:rowOff>19731</xdr:rowOff>
    </xdr:from>
    <xdr:ext cx="2177350" cy="61497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he-IL" sz="1100" b="0" i="1">
                        <a:latin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a:t>
              </a:r>
              <a:r>
                <a:rPr lang="he-IL" sz="1100" b="0" i="0">
                  <a:latin typeface="Cambria Math" panose="02040503050406030204" pitchFamily="18" charset="0"/>
                </a:rPr>
                <a:t>/(1−</a:t>
              </a:r>
              <a:r>
                <a:rPr lang="en-US" sz="1100" b="0" i="0">
                  <a:latin typeface="Cambria Math" panose="02040503050406030204" pitchFamily="18" charset="0"/>
                </a:rPr>
                <a:t>𝑑/𝑛)^𝑚 </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347870</xdr:colOff>
      <xdr:row>962</xdr:row>
      <xdr:rowOff>130865</xdr:rowOff>
    </xdr:from>
    <xdr:ext cx="21726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646044</xdr:colOff>
      <xdr:row>970</xdr:row>
      <xdr:rowOff>180561</xdr:rowOff>
    </xdr:from>
    <xdr:ext cx="2310690"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1</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2</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3</m:t>
                            </m:r>
                          </m:sub>
                        </m:sSub>
                      </m:e>
                    </m:d>
                    <m:r>
                      <a:rPr lang="en-US" sz="1100" b="0" i="1">
                        <a:latin typeface="Cambria Math" panose="02040503050406030204" pitchFamily="18" charset="0"/>
                      </a:rPr>
                      <m:t>−1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𝑟_𝑒=(1+𝑟_1 )∗(1+𝑟_2 )∗(1+𝑟_3 )−1</a:t>
              </a:r>
              <a:endParaRPr lang="en-US" sz="1100"/>
            </a:p>
          </xdr:txBody>
        </xdr:sp>
      </mc:Fallback>
    </mc:AlternateContent>
    <xdr:clientData/>
  </xdr:oneCellAnchor>
  <xdr:oneCellAnchor>
    <xdr:from>
      <xdr:col>2</xdr:col>
      <xdr:colOff>501650</xdr:colOff>
      <xdr:row>983</xdr:row>
      <xdr:rowOff>12700</xdr:rowOff>
    </xdr:from>
    <xdr:ext cx="2177350" cy="359329"/>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he-IL" sz="1100" b="1" i="1">
                                    <a:latin typeface="Cambria Math" panose="02040503050406030204" pitchFamily="18" charset="0"/>
                                  </a:rPr>
                                  <m:t>𝟏𝟐</m:t>
                                </m:r>
                                <m:r>
                                  <a:rPr lang="he-IL" sz="1100" b="1" i="1">
                                    <a:latin typeface="Cambria Math" panose="02040503050406030204" pitchFamily="18" charset="0"/>
                                  </a:rPr>
                                  <m:t>%</m:t>
                                </m:r>
                              </m:num>
                              <m:den>
                                <m:r>
                                  <a:rPr lang="he-IL" sz="1100" b="1" i="1">
                                    <a:latin typeface="Cambria Math" panose="02040503050406030204" pitchFamily="18" charset="0"/>
                                  </a:rPr>
                                  <m:t>𝟏𝟐</m:t>
                                </m:r>
                              </m:den>
                            </m:f>
                          </m:e>
                        </m:d>
                      </m:e>
                      <m:sup>
                        <m:r>
                          <a:rPr lang="he-IL" sz="1100" b="1" i="1">
                            <a:latin typeface="Cambria Math" panose="02040503050406030204" pitchFamily="18" charset="0"/>
                          </a:rPr>
                          <m:t>𝟏</m:t>
                        </m:r>
                      </m:sup>
                    </m:sSup>
                    <m:r>
                      <a:rPr lang="en-US" sz="1100" b="1" i="1">
                        <a:latin typeface="Cambria Math" panose="02040503050406030204" pitchFamily="18" charset="0"/>
                      </a:rPr>
                      <m:t>−</m:t>
                    </m:r>
                    <m:r>
                      <a:rPr lang="en-US" sz="1100" b="1" i="1">
                        <a:latin typeface="Cambria Math" panose="02040503050406030204" pitchFamily="18" charset="0"/>
                      </a:rPr>
                      <m:t>𝟏</m:t>
                    </m:r>
                    <m:r>
                      <a:rPr lang="he-IL" sz="1100" b="1" i="1">
                        <a:latin typeface="Cambria Math" panose="02040503050406030204" pitchFamily="18" charset="0"/>
                      </a:rPr>
                      <m:t>=</m:t>
                    </m:r>
                    <m:r>
                      <a:rPr lang="he-IL" sz="1100" b="1" i="1">
                        <a:latin typeface="Cambria Math" panose="02040503050406030204" pitchFamily="18" charset="0"/>
                      </a:rPr>
                      <m:t>𝟏</m:t>
                    </m:r>
                    <m:r>
                      <a:rPr lang="he-IL" sz="1100" b="1" i="1">
                        <a:latin typeface="Cambria Math" panose="02040503050406030204" pitchFamily="18" charset="0"/>
                      </a:rPr>
                      <m:t>%</m:t>
                    </m:r>
                  </m:oMath>
                </m:oMathPara>
              </a14:m>
              <a:endParaRPr lang="en-US" sz="1100" b="1"/>
            </a:p>
          </xdr:txBody>
        </xdr:sp>
      </mc:Choice>
      <mc:Fallback xmlns="">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a:t>
              </a:r>
              <a:r>
                <a:rPr lang="en-US" sz="1100" b="1" i="0">
                  <a:latin typeface="Cambria Math" panose="02040503050406030204" pitchFamily="18" charset="0"/>
                </a:rPr>
                <a:t>−𝟏</a:t>
              </a:r>
              <a:r>
                <a:rPr lang="he-IL" sz="1100" b="1" i="0">
                  <a:latin typeface="Cambria Math" panose="02040503050406030204" pitchFamily="18" charset="0"/>
                </a:rPr>
                <a:t>=𝟏%</a:t>
              </a:r>
              <a:endParaRPr lang="en-US" sz="1100" b="1"/>
            </a:p>
          </xdr:txBody>
        </xdr:sp>
      </mc:Fallback>
    </mc:AlternateContent>
    <xdr:clientData/>
  </xdr:oneCellAnchor>
  <xdr:twoCellAnchor>
    <xdr:from>
      <xdr:col>5</xdr:col>
      <xdr:colOff>67679</xdr:colOff>
      <xdr:row>515</xdr:row>
      <xdr:rowOff>35830</xdr:rowOff>
    </xdr:from>
    <xdr:to>
      <xdr:col>7</xdr:col>
      <xdr:colOff>226927</xdr:colOff>
      <xdr:row>520</xdr:row>
      <xdr:rowOff>167209</xdr:rowOff>
    </xdr:to>
    <xdr:sp macro="" textlink="">
      <xdr:nvSpPr>
        <xdr:cNvPr id="24" name="Rectangular Callout 23">
          <a:extLst>
            <a:ext uri="{FF2B5EF4-FFF2-40B4-BE49-F238E27FC236}">
              <a16:creationId xmlns:a16="http://schemas.microsoft.com/office/drawing/2014/main" id="{67D2720F-971E-2E77-38C6-1B25474BB994}"/>
            </a:ext>
          </a:extLst>
        </xdr:cNvPr>
        <xdr:cNvSpPr/>
      </xdr:nvSpPr>
      <xdr:spPr>
        <a:xfrm>
          <a:off x="13496166584" y="23815485"/>
          <a:ext cx="1807461" cy="1146583"/>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a:t>
          </a:r>
          <a:r>
            <a:rPr lang="he-IL" sz="1100" baseline="0"/>
            <a:t> עתידי של סכום יחיד (הפקדה בודדת) לזמן 20 ״ערב תחילת המשיכות״</a:t>
          </a:r>
        </a:p>
        <a:p>
          <a:pPr algn="r" rtl="1"/>
          <a:r>
            <a:rPr lang="he-IL" sz="1100" baseline="0"/>
            <a:t>ה-</a:t>
          </a:r>
          <a:r>
            <a:rPr lang="en-US" sz="1100" baseline="0"/>
            <a:t>n</a:t>
          </a:r>
          <a:r>
            <a:rPr lang="he-IL" sz="1100" baseline="0"/>
            <a:t> בהפקדה בודדת הוא מספר תקופות הריבית, וההפקדה הבודדת תוזן ב-</a:t>
          </a:r>
          <a:r>
            <a:rPr lang="en-US" sz="1100" baseline="0"/>
            <a:t>PV</a:t>
          </a:r>
          <a:endParaRPr lang="en-US" sz="1100"/>
        </a:p>
      </xdr:txBody>
    </xdr:sp>
    <xdr:clientData/>
  </xdr:twoCellAnchor>
  <xdr:twoCellAnchor>
    <xdr:from>
      <xdr:col>3</xdr:col>
      <xdr:colOff>67680</xdr:colOff>
      <xdr:row>513</xdr:row>
      <xdr:rowOff>145314</xdr:rowOff>
    </xdr:from>
    <xdr:to>
      <xdr:col>4</xdr:col>
      <xdr:colOff>631018</xdr:colOff>
      <xdr:row>514</xdr:row>
      <xdr:rowOff>151286</xdr:rowOff>
    </xdr:to>
    <xdr:sp macro="" textlink="">
      <xdr:nvSpPr>
        <xdr:cNvPr id="25" name="Left Brace 24">
          <a:extLst>
            <a:ext uri="{FF2B5EF4-FFF2-40B4-BE49-F238E27FC236}">
              <a16:creationId xmlns:a16="http://schemas.microsoft.com/office/drawing/2014/main" id="{4EEF1A6E-235C-EA6F-B572-E0893E7FBF8A}"/>
            </a:ext>
          </a:extLst>
        </xdr:cNvPr>
        <xdr:cNvSpPr/>
      </xdr:nvSpPr>
      <xdr:spPr>
        <a:xfrm rot="16200000">
          <a:off x="13498824029" y="22929671"/>
          <a:ext cx="209012" cy="138744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11942</xdr:colOff>
      <xdr:row>515</xdr:row>
      <xdr:rowOff>75643</xdr:rowOff>
    </xdr:from>
    <xdr:to>
      <xdr:col>5</xdr:col>
      <xdr:colOff>67680</xdr:colOff>
      <xdr:row>520</xdr:row>
      <xdr:rowOff>159249</xdr:rowOff>
    </xdr:to>
    <xdr:sp macro="" textlink="">
      <xdr:nvSpPr>
        <xdr:cNvPr id="26" name="Rectangular Callout 25">
          <a:extLst>
            <a:ext uri="{FF2B5EF4-FFF2-40B4-BE49-F238E27FC236}">
              <a16:creationId xmlns:a16="http://schemas.microsoft.com/office/drawing/2014/main" id="{CF9B9755-F5A2-CBA5-8C58-EA49AAEAF05B}"/>
            </a:ext>
          </a:extLst>
        </xdr:cNvPr>
        <xdr:cNvSpPr/>
      </xdr:nvSpPr>
      <xdr:spPr>
        <a:xfrm>
          <a:off x="13497974044" y="23855298"/>
          <a:ext cx="879844" cy="1098810"/>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26 ו-27</a:t>
          </a:r>
        </a:p>
        <a:p>
          <a:pPr algn="r" rtl="1"/>
          <a:r>
            <a:rPr lang="he-IL" sz="1100"/>
            <a:t>מוביל</a:t>
          </a:r>
          <a:r>
            <a:rPr lang="he-IL" sz="1100" baseline="0"/>
            <a:t> לזמן 25 (״אחת אחורה״)</a:t>
          </a:r>
          <a:endParaRPr lang="en-US" sz="1100"/>
        </a:p>
      </xdr:txBody>
    </xdr:sp>
    <xdr:clientData/>
  </xdr:twoCellAnchor>
  <xdr:twoCellAnchor>
    <xdr:from>
      <xdr:col>3</xdr:col>
      <xdr:colOff>636990</xdr:colOff>
      <xdr:row>511</xdr:row>
      <xdr:rowOff>163229</xdr:rowOff>
    </xdr:from>
    <xdr:to>
      <xdr:col>4</xdr:col>
      <xdr:colOff>131379</xdr:colOff>
      <xdr:row>513</xdr:row>
      <xdr:rowOff>103511</xdr:rowOff>
    </xdr:to>
    <xdr:cxnSp macro="">
      <xdr:nvCxnSpPr>
        <xdr:cNvPr id="28" name="Straight Arrow Connector 27">
          <a:extLst>
            <a:ext uri="{FF2B5EF4-FFF2-40B4-BE49-F238E27FC236}">
              <a16:creationId xmlns:a16="http://schemas.microsoft.com/office/drawing/2014/main" id="{07105089-EDAB-7139-9499-31C85D72884B}"/>
            </a:ext>
          </a:extLst>
        </xdr:cNvPr>
        <xdr:cNvCxnSpPr/>
      </xdr:nvCxnSpPr>
      <xdr:spPr>
        <a:xfrm>
          <a:off x="13498734451" y="23130721"/>
          <a:ext cx="318496" cy="34636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724577</xdr:colOff>
      <xdr:row>515</xdr:row>
      <xdr:rowOff>163228</xdr:rowOff>
    </xdr:from>
    <xdr:to>
      <xdr:col>3</xdr:col>
      <xdr:colOff>784295</xdr:colOff>
      <xdr:row>523</xdr:row>
      <xdr:rowOff>139341</xdr:rowOff>
    </xdr:to>
    <xdr:sp macro="" textlink="">
      <xdr:nvSpPr>
        <xdr:cNvPr id="29" name="Rectangular Callout 28">
          <a:extLst>
            <a:ext uri="{FF2B5EF4-FFF2-40B4-BE49-F238E27FC236}">
              <a16:creationId xmlns:a16="http://schemas.microsoft.com/office/drawing/2014/main" id="{C28BD1F7-7307-403F-2972-EF3243E0221A}"/>
            </a:ext>
          </a:extLst>
        </xdr:cNvPr>
        <xdr:cNvSpPr/>
      </xdr:nvSpPr>
      <xdr:spPr>
        <a:xfrm>
          <a:off x="13498905642" y="23942883"/>
          <a:ext cx="911693" cy="1600439"/>
        </a:xfrm>
        <a:prstGeom prst="wedgeRectCallout">
          <a:avLst>
            <a:gd name="adj1" fmla="val 4787"/>
            <a:gd name="adj2" fmla="val -678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21-25 מוביל לזמן 20 (אחת אחורה) כולל השפעת הסדרה הקודמת</a:t>
          </a:r>
          <a:endParaRPr lang="en-US" sz="1100"/>
        </a:p>
      </xdr:txBody>
    </xdr:sp>
    <xdr:clientData/>
  </xdr:twoCellAnchor>
  <xdr:twoCellAnchor>
    <xdr:from>
      <xdr:col>3</xdr:col>
      <xdr:colOff>636990</xdr:colOff>
      <xdr:row>511</xdr:row>
      <xdr:rowOff>151285</xdr:rowOff>
    </xdr:from>
    <xdr:to>
      <xdr:col>3</xdr:col>
      <xdr:colOff>640972</xdr:colOff>
      <xdr:row>513</xdr:row>
      <xdr:rowOff>67680</xdr:rowOff>
    </xdr:to>
    <xdr:cxnSp macro="">
      <xdr:nvCxnSpPr>
        <xdr:cNvPr id="30" name="Straight Arrow Connector 29">
          <a:extLst>
            <a:ext uri="{FF2B5EF4-FFF2-40B4-BE49-F238E27FC236}">
              <a16:creationId xmlns:a16="http://schemas.microsoft.com/office/drawing/2014/main" id="{E392D854-BACD-AD40-5687-10E94BAB614A}"/>
            </a:ext>
          </a:extLst>
        </xdr:cNvPr>
        <xdr:cNvCxnSpPr/>
      </xdr:nvCxnSpPr>
      <xdr:spPr>
        <a:xfrm flipV="1">
          <a:off x="13499048965" y="23118777"/>
          <a:ext cx="3982" cy="32247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7963</xdr:colOff>
      <xdr:row>532</xdr:row>
      <xdr:rowOff>119435</xdr:rowOff>
    </xdr:from>
    <xdr:to>
      <xdr:col>5</xdr:col>
      <xdr:colOff>479841</xdr:colOff>
      <xdr:row>543</xdr:row>
      <xdr:rowOff>156367</xdr:rowOff>
    </xdr:to>
    <xdr:pic>
      <xdr:nvPicPr>
        <xdr:cNvPr id="32" name="Picture 31">
          <a:extLst>
            <a:ext uri="{FF2B5EF4-FFF2-40B4-BE49-F238E27FC236}">
              <a16:creationId xmlns:a16="http://schemas.microsoft.com/office/drawing/2014/main" id="{670A2F5D-2A30-39F2-D764-4DD41F6C2A54}"/>
            </a:ext>
          </a:extLst>
        </xdr:cNvPr>
        <xdr:cNvPicPr>
          <a:picLocks noChangeAspect="1"/>
        </xdr:cNvPicPr>
      </xdr:nvPicPr>
      <xdr:blipFill>
        <a:blip xmlns:r="http://schemas.openxmlformats.org/officeDocument/2006/relationships" r:embed="rId1"/>
        <a:stretch>
          <a:fillRect/>
        </a:stretch>
      </xdr:blipFill>
      <xdr:spPr>
        <a:xfrm>
          <a:off x="13497551922" y="27422444"/>
          <a:ext cx="4630240" cy="2270383"/>
        </a:xfrm>
        <a:prstGeom prst="rect">
          <a:avLst/>
        </a:prstGeom>
      </xdr:spPr>
    </xdr:pic>
    <xdr:clientData/>
  </xdr:twoCellAnchor>
  <xdr:twoCellAnchor>
    <xdr:from>
      <xdr:col>5</xdr:col>
      <xdr:colOff>47774</xdr:colOff>
      <xdr:row>675</xdr:row>
      <xdr:rowOff>79624</xdr:rowOff>
    </xdr:from>
    <xdr:to>
      <xdr:col>5</xdr:col>
      <xdr:colOff>565329</xdr:colOff>
      <xdr:row>675</xdr:row>
      <xdr:rowOff>175173</xdr:rowOff>
    </xdr:to>
    <xdr:cxnSp macro="">
      <xdr:nvCxnSpPr>
        <xdr:cNvPr id="34" name="Straight Arrow Connector 33">
          <a:extLst>
            <a:ext uri="{FF2B5EF4-FFF2-40B4-BE49-F238E27FC236}">
              <a16:creationId xmlns:a16="http://schemas.microsoft.com/office/drawing/2014/main" id="{B6B02C81-9175-0136-4CB0-9D75CCFC21AA}"/>
            </a:ext>
          </a:extLst>
        </xdr:cNvPr>
        <xdr:cNvCxnSpPr/>
      </xdr:nvCxnSpPr>
      <xdr:spPr>
        <a:xfrm flipV="1">
          <a:off x="13497476395" y="36519467"/>
          <a:ext cx="517555" cy="9554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15924</xdr:colOff>
      <xdr:row>675</xdr:row>
      <xdr:rowOff>183135</xdr:rowOff>
    </xdr:from>
    <xdr:to>
      <xdr:col>5</xdr:col>
      <xdr:colOff>589216</xdr:colOff>
      <xdr:row>676</xdr:row>
      <xdr:rowOff>87586</xdr:rowOff>
    </xdr:to>
    <xdr:cxnSp macro="">
      <xdr:nvCxnSpPr>
        <xdr:cNvPr id="35" name="Straight Arrow Connector 34">
          <a:extLst>
            <a:ext uri="{FF2B5EF4-FFF2-40B4-BE49-F238E27FC236}">
              <a16:creationId xmlns:a16="http://schemas.microsoft.com/office/drawing/2014/main" id="{10FD2D39-D913-4208-8F05-B69DB34F25E4}"/>
            </a:ext>
          </a:extLst>
        </xdr:cNvPr>
        <xdr:cNvCxnSpPr/>
      </xdr:nvCxnSpPr>
      <xdr:spPr>
        <a:xfrm>
          <a:off x="13497452508" y="36622978"/>
          <a:ext cx="573292" cy="1074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605142</xdr:colOff>
      <xdr:row>680</xdr:row>
      <xdr:rowOff>134007</xdr:rowOff>
    </xdr:from>
    <xdr:ext cx="2109154" cy="173766"/>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0">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0">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m:rPr>
                                <m:sty m:val="p"/>
                              </m:rPr>
                              <a:rPr lang="en-US" sz="1100" b="0" i="0">
                                <a:latin typeface="Cambria Math" panose="02040503050406030204" pitchFamily="18" charset="0"/>
                                <a:ea typeface="Cambria Math" panose="02040503050406030204" pitchFamily="18" charset="0"/>
                              </a:rPr>
                              <m:t>r</m:t>
                            </m:r>
                          </m:e>
                          <m:sub>
                            <m:r>
                              <m:rPr>
                                <m:sty m:val="p"/>
                              </m:rPr>
                              <a:rPr lang="en-US" sz="1100" b="0" i="0">
                                <a:latin typeface="Cambria Math" panose="02040503050406030204" pitchFamily="18" charset="0"/>
                                <a:ea typeface="Cambria Math" panose="02040503050406030204" pitchFamily="18" charset="0"/>
                              </a:rPr>
                              <m:t>n</m:t>
                            </m:r>
                          </m:sub>
                        </m:sSub>
                      </m:e>
                    </m:d>
                  </m:oMath>
                </m:oMathPara>
              </a14:m>
              <a:endParaRPr lang="en-US" sz="1100"/>
            </a:p>
          </xdr:txBody>
        </xdr:sp>
      </mc:Choice>
      <mc:Fallback xmlns="">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𝑟_𝑟 )∗(1+</a:t>
              </a:r>
              <a:r>
                <a:rPr lang="en-US" sz="1100" b="0" i="0">
                  <a:latin typeface="Cambria Math" panose="02040503050406030204" pitchFamily="18" charset="0"/>
                  <a:ea typeface="Cambria Math" panose="02040503050406030204" pitchFamily="18" charset="0"/>
                </a:rPr>
                <a:t>𝜋)=(1+r_n )</a:t>
              </a:r>
              <a:endParaRPr lang="en-US" sz="1100"/>
            </a:p>
          </xdr:txBody>
        </xdr:sp>
      </mc:Fallback>
    </mc:AlternateContent>
    <xdr:clientData/>
  </xdr:oneCellAnchor>
  <xdr:twoCellAnchor>
    <xdr:from>
      <xdr:col>3</xdr:col>
      <xdr:colOff>672821</xdr:colOff>
      <xdr:row>701</xdr:row>
      <xdr:rowOff>19906</xdr:rowOff>
    </xdr:from>
    <xdr:to>
      <xdr:col>3</xdr:col>
      <xdr:colOff>672821</xdr:colOff>
      <xdr:row>703</xdr:row>
      <xdr:rowOff>3982</xdr:rowOff>
    </xdr:to>
    <xdr:cxnSp macro="">
      <xdr:nvCxnSpPr>
        <xdr:cNvPr id="39" name="Straight Arrow Connector 38">
          <a:extLst>
            <a:ext uri="{FF2B5EF4-FFF2-40B4-BE49-F238E27FC236}">
              <a16:creationId xmlns:a16="http://schemas.microsoft.com/office/drawing/2014/main" id="{9468A49D-E3D5-9532-3C7B-5186F3DD4B6E}"/>
            </a:ext>
          </a:extLst>
        </xdr:cNvPr>
        <xdr:cNvCxnSpPr/>
      </xdr:nvCxnSpPr>
      <xdr:spPr>
        <a:xfrm>
          <a:off x="13499017116" y="41738809"/>
          <a:ext cx="0" cy="3901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465799</xdr:colOff>
      <xdr:row>700</xdr:row>
      <xdr:rowOff>195079</xdr:rowOff>
    </xdr:from>
    <xdr:to>
      <xdr:col>3</xdr:col>
      <xdr:colOff>51755</xdr:colOff>
      <xdr:row>705</xdr:row>
      <xdr:rowOff>147304</xdr:rowOff>
    </xdr:to>
    <xdr:cxnSp macro="">
      <xdr:nvCxnSpPr>
        <xdr:cNvPr id="40" name="Straight Arrow Connector 39">
          <a:extLst>
            <a:ext uri="{FF2B5EF4-FFF2-40B4-BE49-F238E27FC236}">
              <a16:creationId xmlns:a16="http://schemas.microsoft.com/office/drawing/2014/main" id="{DACBE28E-9DDC-0D58-40F3-6D6D82D6D3B2}"/>
            </a:ext>
          </a:extLst>
        </xdr:cNvPr>
        <xdr:cNvCxnSpPr/>
      </xdr:nvCxnSpPr>
      <xdr:spPr>
        <a:xfrm>
          <a:off x="13499638182" y="41710941"/>
          <a:ext cx="437931" cy="9674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461817</xdr:colOff>
      <xdr:row>700</xdr:row>
      <xdr:rowOff>195079</xdr:rowOff>
    </xdr:from>
    <xdr:to>
      <xdr:col>2</xdr:col>
      <xdr:colOff>402100</xdr:colOff>
      <xdr:row>703</xdr:row>
      <xdr:rowOff>59718</xdr:rowOff>
    </xdr:to>
    <xdr:cxnSp macro="">
      <xdr:nvCxnSpPr>
        <xdr:cNvPr id="42" name="Straight Arrow Connector 41">
          <a:extLst>
            <a:ext uri="{FF2B5EF4-FFF2-40B4-BE49-F238E27FC236}">
              <a16:creationId xmlns:a16="http://schemas.microsoft.com/office/drawing/2014/main" id="{DEAA12BB-B130-F45E-CA11-47925CEE842F}"/>
            </a:ext>
          </a:extLst>
        </xdr:cNvPr>
        <xdr:cNvCxnSpPr/>
      </xdr:nvCxnSpPr>
      <xdr:spPr>
        <a:xfrm>
          <a:off x="13500139812" y="41710941"/>
          <a:ext cx="764389" cy="4737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573291</xdr:colOff>
      <xdr:row>910</xdr:row>
      <xdr:rowOff>27869</xdr:rowOff>
    </xdr:from>
    <xdr:to>
      <xdr:col>4</xdr:col>
      <xdr:colOff>83604</xdr:colOff>
      <xdr:row>912</xdr:row>
      <xdr:rowOff>0</xdr:rowOff>
    </xdr:to>
    <xdr:cxnSp macro="">
      <xdr:nvCxnSpPr>
        <xdr:cNvPr id="45" name="Straight Arrow Connector 44">
          <a:extLst>
            <a:ext uri="{FF2B5EF4-FFF2-40B4-BE49-F238E27FC236}">
              <a16:creationId xmlns:a16="http://schemas.microsoft.com/office/drawing/2014/main" id="{18561AC7-ED40-0245-0E43-2FC5DAE62D57}"/>
            </a:ext>
          </a:extLst>
        </xdr:cNvPr>
        <xdr:cNvCxnSpPr/>
      </xdr:nvCxnSpPr>
      <xdr:spPr>
        <a:xfrm flipH="1">
          <a:off x="13498782226" y="79942320"/>
          <a:ext cx="334420" cy="37821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824106</xdr:colOff>
      <xdr:row>910</xdr:row>
      <xdr:rowOff>19907</xdr:rowOff>
    </xdr:from>
    <xdr:to>
      <xdr:col>3</xdr:col>
      <xdr:colOff>270721</xdr:colOff>
      <xdr:row>915</xdr:row>
      <xdr:rowOff>27869</xdr:rowOff>
    </xdr:to>
    <xdr:cxnSp macro="">
      <xdr:nvCxnSpPr>
        <xdr:cNvPr id="46" name="Straight Arrow Connector 45">
          <a:extLst>
            <a:ext uri="{FF2B5EF4-FFF2-40B4-BE49-F238E27FC236}">
              <a16:creationId xmlns:a16="http://schemas.microsoft.com/office/drawing/2014/main" id="{5221420D-9A70-4009-6FA7-6600898118A8}"/>
            </a:ext>
          </a:extLst>
        </xdr:cNvPr>
        <xdr:cNvCxnSpPr/>
      </xdr:nvCxnSpPr>
      <xdr:spPr>
        <a:xfrm flipH="1">
          <a:off x="13499419216" y="79934358"/>
          <a:ext cx="298590" cy="10231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406798</xdr:colOff>
      <xdr:row>615</xdr:row>
      <xdr:rowOff>26490</xdr:rowOff>
    </xdr:from>
    <xdr:ext cx="1417103" cy="34015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49610</xdr:colOff>
      <xdr:row>618</xdr:row>
      <xdr:rowOff>100905</xdr:rowOff>
    </xdr:from>
    <xdr:ext cx="3153433" cy="354649"/>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he-IL" sz="1100" b="0" i="1">
                            <a:latin typeface="Cambria Math" panose="02040503050406030204" pitchFamily="18" charset="0"/>
                          </a:rPr>
                        </m:ctrlPr>
                      </m:dPr>
                      <m:e>
                        <m:r>
                          <a:rPr lang="en-US" sz="1100" b="0" i="1">
                            <a:latin typeface="Cambria Math" panose="02040503050406030204" pitchFamily="18" charset="0"/>
                          </a:rPr>
                          <m:t>𝑀𝑜𝑛𝑡h</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24%</m:t>
                                </m:r>
                              </m:num>
                              <m:den>
                                <m:r>
                                  <a:rPr lang="en-US" sz="1100" b="0" i="1">
                                    <a:latin typeface="Cambria Math" panose="02040503050406030204" pitchFamily="18" charset="0"/>
                                  </a:rPr>
                                  <m:t>12</m:t>
                                </m:r>
                              </m:den>
                            </m:f>
                          </m:e>
                        </m:d>
                      </m:e>
                      <m:sup>
                        <m:r>
                          <a:rPr lang="en-US" sz="1100" b="0" i="1">
                            <a:latin typeface="Cambria Math" panose="02040503050406030204" pitchFamily="18" charset="0"/>
                          </a:rPr>
                          <m:t>1</m:t>
                        </m:r>
                      </m:sup>
                    </m:sSup>
                    <m:r>
                      <a:rPr lang="en-US" sz="1100" b="0" i="1">
                        <a:latin typeface="Cambria Math" panose="02040503050406030204" pitchFamily="18" charset="0"/>
                      </a:rPr>
                      <m:t>−1=2%</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 (</a:t>
              </a:r>
              <a:r>
                <a:rPr lang="en-US" sz="1100" b="0" i="0">
                  <a:latin typeface="Cambria Math" panose="02040503050406030204" pitchFamily="18" charset="0"/>
                </a:rPr>
                <a:t>𝑀𝑜𝑛𝑡ℎ)=(1+(24%)/12)^1−1=2%</a:t>
              </a:r>
              <a:endParaRPr lang="en-US" sz="1100"/>
            </a:p>
          </xdr:txBody>
        </xdr:sp>
      </mc:Fallback>
    </mc:AlternateContent>
    <xdr:clientData/>
  </xdr:oneCellAnchor>
  <xdr:twoCellAnchor editAs="oneCell">
    <xdr:from>
      <xdr:col>0</xdr:col>
      <xdr:colOff>127000</xdr:colOff>
      <xdr:row>19</xdr:row>
      <xdr:rowOff>82550</xdr:rowOff>
    </xdr:from>
    <xdr:to>
      <xdr:col>3</xdr:col>
      <xdr:colOff>561539</xdr:colOff>
      <xdr:row>34</xdr:row>
      <xdr:rowOff>133349</xdr:rowOff>
    </xdr:to>
    <xdr:pic>
      <xdr:nvPicPr>
        <xdr:cNvPr id="27" name="Picture 26">
          <a:extLst>
            <a:ext uri="{FF2B5EF4-FFF2-40B4-BE49-F238E27FC236}">
              <a16:creationId xmlns:a16="http://schemas.microsoft.com/office/drawing/2014/main" id="{82E824D1-AEF5-7D0B-4A9A-3B4C114CC597}"/>
            </a:ext>
          </a:extLst>
        </xdr:cNvPr>
        <xdr:cNvPicPr>
          <a:picLocks noChangeAspect="1"/>
        </xdr:cNvPicPr>
      </xdr:nvPicPr>
      <xdr:blipFill>
        <a:blip xmlns:r="http://schemas.openxmlformats.org/officeDocument/2006/relationships" r:embed="rId2"/>
        <a:stretch>
          <a:fillRect/>
        </a:stretch>
      </xdr:blipFill>
      <xdr:spPr>
        <a:xfrm>
          <a:off x="13522007500" y="285750"/>
          <a:ext cx="2946400" cy="3098800"/>
        </a:xfrm>
        <a:prstGeom prst="rect">
          <a:avLst/>
        </a:prstGeom>
      </xdr:spPr>
    </xdr:pic>
    <xdr:clientData/>
  </xdr:twoCellAnchor>
  <xdr:oneCellAnchor>
    <xdr:from>
      <xdr:col>2</xdr:col>
      <xdr:colOff>413373</xdr:colOff>
      <xdr:row>77</xdr:row>
      <xdr:rowOff>23406</xdr:rowOff>
    </xdr:from>
    <xdr:ext cx="512979" cy="17376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78</xdr:row>
      <xdr:rowOff>18426</xdr:rowOff>
    </xdr:from>
    <xdr:ext cx="512979"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79</xdr:row>
      <xdr:rowOff>28388</xdr:rowOff>
    </xdr:from>
    <xdr:ext cx="697254" cy="220632"/>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oneCellAnchor>
    <xdr:from>
      <xdr:col>2</xdr:col>
      <xdr:colOff>667372</xdr:colOff>
      <xdr:row>111</xdr:row>
      <xdr:rowOff>33368</xdr:rowOff>
    </xdr:from>
    <xdr:ext cx="1339684" cy="173766"/>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𝑁𝑃𝑉</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𝑁𝑃𝑉=</a:t>
              </a:r>
              <a:endParaRPr lang="en-US" sz="1100"/>
            </a:p>
          </xdr:txBody>
        </xdr:sp>
      </mc:Fallback>
    </mc:AlternateContent>
    <xdr:clientData/>
  </xdr:oneCellAnchor>
  <xdr:oneCellAnchor>
    <xdr:from>
      <xdr:col>1</xdr:col>
      <xdr:colOff>687294</xdr:colOff>
      <xdr:row>104</xdr:row>
      <xdr:rowOff>18428</xdr:rowOff>
    </xdr:from>
    <xdr:ext cx="1967213" cy="32156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4</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∗25%=60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(1,600/4−1,600/10)∗25%=60</a:t>
              </a:r>
              <a:endParaRPr lang="en-US" sz="1100"/>
            </a:p>
          </xdr:txBody>
        </xdr:sp>
      </mc:Fallback>
    </mc:AlternateContent>
    <xdr:clientData/>
  </xdr:oneCellAnchor>
  <xdr:oneCellAnchor>
    <xdr:from>
      <xdr:col>1</xdr:col>
      <xdr:colOff>682314</xdr:colOff>
      <xdr:row>108</xdr:row>
      <xdr:rowOff>68233</xdr:rowOff>
    </xdr:from>
    <xdr:ext cx="1967213" cy="321563"/>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0</m:t>
                        </m:r>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m:t>
                    </m:r>
                    <m:r>
                      <a:rPr lang="he-IL" sz="1100" b="0" i="1">
                        <a:latin typeface="Cambria Math" panose="02040503050406030204" pitchFamily="18" charset="0"/>
                        <a:ea typeface="Cambria Math" panose="02040503050406030204" pitchFamily="18" charset="0"/>
                      </a:rPr>
                      <m:t>−40</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r>
                <a:rPr lang="en-US" sz="1100" b="0" i="0">
                  <a:latin typeface="Cambria Math" panose="02040503050406030204" pitchFamily="18" charset="0"/>
                  <a:ea typeface="Cambria Math" panose="02040503050406030204" pitchFamily="18" charset="0"/>
                </a:rPr>
                <a:t>−1,600/10)∗25%=</a:t>
              </a:r>
              <a:r>
                <a:rPr lang="he-IL" sz="1100" b="0" i="0">
                  <a:latin typeface="Cambria Math" panose="02040503050406030204" pitchFamily="18" charset="0"/>
                  <a:ea typeface="Cambria Math" panose="02040503050406030204" pitchFamily="18" charset="0"/>
                </a:rPr>
                <a:t>−40</a:t>
              </a:r>
              <a:endParaRPr lang="en-US" sz="1100"/>
            </a:p>
          </xdr:txBody>
        </xdr:sp>
      </mc:Fallback>
    </mc:AlternateContent>
    <xdr:clientData/>
  </xdr:oneCellAnchor>
  <xdr:twoCellAnchor editAs="oneCell">
    <xdr:from>
      <xdr:col>0</xdr:col>
      <xdr:colOff>27957</xdr:colOff>
      <xdr:row>119</xdr:row>
      <xdr:rowOff>53705</xdr:rowOff>
    </xdr:from>
    <xdr:to>
      <xdr:col>7</xdr:col>
      <xdr:colOff>580780</xdr:colOff>
      <xdr:row>129</xdr:row>
      <xdr:rowOff>167486</xdr:rowOff>
    </xdr:to>
    <xdr:pic>
      <xdr:nvPicPr>
        <xdr:cNvPr id="44" name="Picture 43">
          <a:extLst>
            <a:ext uri="{FF2B5EF4-FFF2-40B4-BE49-F238E27FC236}">
              <a16:creationId xmlns:a16="http://schemas.microsoft.com/office/drawing/2014/main" id="{66B4115F-915B-9471-4654-C98E7D198744}"/>
            </a:ext>
          </a:extLst>
        </xdr:cNvPr>
        <xdr:cNvPicPr>
          <a:picLocks noChangeAspect="1"/>
        </xdr:cNvPicPr>
      </xdr:nvPicPr>
      <xdr:blipFill>
        <a:blip xmlns:r="http://schemas.openxmlformats.org/officeDocument/2006/relationships" r:embed="rId3"/>
        <a:stretch>
          <a:fillRect/>
        </a:stretch>
      </xdr:blipFill>
      <xdr:spPr>
        <a:xfrm>
          <a:off x="13538254220" y="18308957"/>
          <a:ext cx="6439553" cy="2150573"/>
        </a:xfrm>
        <a:prstGeom prst="rect">
          <a:avLst/>
        </a:prstGeom>
      </xdr:spPr>
    </xdr:pic>
    <xdr:clientData/>
  </xdr:twoCellAnchor>
  <xdr:twoCellAnchor editAs="oneCell">
    <xdr:from>
      <xdr:col>0</xdr:col>
      <xdr:colOff>71887</xdr:colOff>
      <xdr:row>162</xdr:row>
      <xdr:rowOff>55912</xdr:rowOff>
    </xdr:from>
    <xdr:to>
      <xdr:col>7</xdr:col>
      <xdr:colOff>786761</xdr:colOff>
      <xdr:row>172</xdr:row>
      <xdr:rowOff>158918</xdr:rowOff>
    </xdr:to>
    <xdr:pic>
      <xdr:nvPicPr>
        <xdr:cNvPr id="47" name="Picture 46">
          <a:extLst>
            <a:ext uri="{FF2B5EF4-FFF2-40B4-BE49-F238E27FC236}">
              <a16:creationId xmlns:a16="http://schemas.microsoft.com/office/drawing/2014/main" id="{4A3117E8-151E-C7FF-CC34-A3830F60C1E5}"/>
            </a:ext>
          </a:extLst>
        </xdr:cNvPr>
        <xdr:cNvPicPr>
          <a:picLocks noChangeAspect="1"/>
        </xdr:cNvPicPr>
      </xdr:nvPicPr>
      <xdr:blipFill>
        <a:blip xmlns:r="http://schemas.openxmlformats.org/officeDocument/2006/relationships" r:embed="rId4"/>
        <a:stretch>
          <a:fillRect/>
        </a:stretch>
      </xdr:blipFill>
      <xdr:spPr>
        <a:xfrm>
          <a:off x="13538048239" y="27117296"/>
          <a:ext cx="6601604" cy="2139797"/>
        </a:xfrm>
        <a:prstGeom prst="rect">
          <a:avLst/>
        </a:prstGeom>
      </xdr:spPr>
    </xdr:pic>
    <xdr:clientData/>
  </xdr:twoCellAnchor>
  <xdr:oneCellAnchor>
    <xdr:from>
      <xdr:col>4</xdr:col>
      <xdr:colOff>184005</xdr:colOff>
      <xdr:row>186</xdr:row>
      <xdr:rowOff>109248</xdr:rowOff>
    </xdr:from>
    <xdr:ext cx="1703260" cy="368884"/>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f>
                          </m:e>
                        </m:d>
                      </m:e>
                      <m:sup/>
                    </m:sSup>
                    <m:r>
                      <a:rPr lang="en-US" sz="1100" b="0" i="1">
                        <a:latin typeface="Cambria Math" panose="02040503050406030204" pitchFamily="18" charset="0"/>
                      </a:rPr>
                      <m:t>−1</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 −1</a:t>
              </a:r>
              <a:endParaRPr lang="en-US" sz="1100"/>
            </a:p>
          </xdr:txBody>
        </xdr:sp>
      </mc:Fallback>
    </mc:AlternateContent>
    <xdr:clientData/>
  </xdr:oneCellAnchor>
  <xdr:twoCellAnchor>
    <xdr:from>
      <xdr:col>2</xdr:col>
      <xdr:colOff>819006</xdr:colOff>
      <xdr:row>189</xdr:row>
      <xdr:rowOff>3608</xdr:rowOff>
    </xdr:from>
    <xdr:to>
      <xdr:col>3</xdr:col>
      <xdr:colOff>224284</xdr:colOff>
      <xdr:row>191</xdr:row>
      <xdr:rowOff>28863</xdr:rowOff>
    </xdr:to>
    <xdr:sp macro="" textlink="">
      <xdr:nvSpPr>
        <xdr:cNvPr id="51" name="Freeform 50">
          <a:extLst>
            <a:ext uri="{FF2B5EF4-FFF2-40B4-BE49-F238E27FC236}">
              <a16:creationId xmlns:a16="http://schemas.microsoft.com/office/drawing/2014/main" id="{36A2CBC4-62DA-3DC0-86D7-CFE8862FEE4E}"/>
            </a:ext>
          </a:extLst>
        </xdr:cNvPr>
        <xdr:cNvSpPr/>
      </xdr:nvSpPr>
      <xdr:spPr>
        <a:xfrm>
          <a:off x="13534172932" y="32316449"/>
          <a:ext cx="267579" cy="429346"/>
        </a:xfrm>
        <a:custGeom>
          <a:avLst/>
          <a:gdLst>
            <a:gd name="connsiteX0" fmla="*/ 209852 w 267579"/>
            <a:gd name="connsiteY0" fmla="*/ 429346 h 429346"/>
            <a:gd name="connsiteX1" fmla="*/ 591 w 267579"/>
            <a:gd name="connsiteY1" fmla="*/ 169573 h 429346"/>
            <a:gd name="connsiteX2" fmla="*/ 267579 w 267579"/>
            <a:gd name="connsiteY2" fmla="*/ 0 h 429346"/>
          </a:gdLst>
          <a:ahLst/>
          <a:cxnLst>
            <a:cxn ang="0">
              <a:pos x="connsiteX0" y="connsiteY0"/>
            </a:cxn>
            <a:cxn ang="0">
              <a:pos x="connsiteX1" y="connsiteY1"/>
            </a:cxn>
            <a:cxn ang="0">
              <a:pos x="connsiteX2" y="connsiteY2"/>
            </a:cxn>
          </a:cxnLst>
          <a:rect l="l" t="t" r="r" b="b"/>
          <a:pathLst>
            <a:path w="267579" h="429346">
              <a:moveTo>
                <a:pt x="209852" y="429346"/>
              </a:moveTo>
              <a:cubicBezTo>
                <a:pt x="100411" y="335238"/>
                <a:pt x="-9030" y="241131"/>
                <a:pt x="591" y="169573"/>
              </a:cubicBezTo>
              <a:cubicBezTo>
                <a:pt x="10212" y="98015"/>
                <a:pt x="138895" y="49007"/>
                <a:pt x="267579"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815399</xdr:colOff>
      <xdr:row>189</xdr:row>
      <xdr:rowOff>120071</xdr:rowOff>
    </xdr:from>
    <xdr:ext cx="78683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m:t>
                    </m:r>
                  </m:oMath>
                </m:oMathPara>
              </a14:m>
              <a:endParaRPr lang="en-US" sz="1100">
                <a:solidFill>
                  <a:srgbClr val="FF0000"/>
                </a:solidFill>
              </a:endParaRPr>
            </a:p>
          </xdr:txBody>
        </xdr:sp>
      </mc:Choice>
      <mc:Fallback xmlns="">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a:t>
              </a:r>
              <a:endParaRPr lang="en-US" sz="1100">
                <a:solidFill>
                  <a:srgbClr val="FF0000"/>
                </a:solidFill>
              </a:endParaRPr>
            </a:p>
          </xdr:txBody>
        </xdr:sp>
      </mc:Fallback>
    </mc:AlternateContent>
    <xdr:clientData/>
  </xdr:oneCellAnchor>
  <xdr:oneCellAnchor>
    <xdr:from>
      <xdr:col>5</xdr:col>
      <xdr:colOff>678296</xdr:colOff>
      <xdr:row>189</xdr:row>
      <xdr:rowOff>102032</xdr:rowOff>
    </xdr:from>
    <xdr:ext cx="1703260" cy="35323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20%</m:t>
                                </m:r>
                              </m:num>
                              <m:den>
                                <m:r>
                                  <a:rPr lang="he-IL" sz="1100" b="0" i="1">
                                    <a:solidFill>
                                      <a:srgbClr val="FF0000"/>
                                    </a:solidFill>
                                    <a:latin typeface="Cambria Math" panose="02040503050406030204" pitchFamily="18" charset="0"/>
                                  </a:rPr>
                                  <m:t>4</m:t>
                                </m:r>
                              </m:den>
                            </m:f>
                          </m:e>
                        </m:d>
                      </m:e>
                      <m:sup>
                        <m:r>
                          <a:rPr lang="he-IL" sz="1100" b="0" i="1">
                            <a:solidFill>
                              <a:srgbClr val="00B050"/>
                            </a:solidFill>
                            <a:latin typeface="Cambria Math" panose="02040503050406030204" pitchFamily="18" charset="0"/>
                          </a:rPr>
                          <m:t>4</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4</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819006</xdr:colOff>
      <xdr:row>191</xdr:row>
      <xdr:rowOff>39687</xdr:rowOff>
    </xdr:from>
    <xdr:to>
      <xdr:col>3</xdr:col>
      <xdr:colOff>187928</xdr:colOff>
      <xdr:row>193</xdr:row>
      <xdr:rowOff>111846</xdr:rowOff>
    </xdr:to>
    <xdr:sp macro="" textlink="">
      <xdr:nvSpPr>
        <xdr:cNvPr id="54" name="Freeform 53">
          <a:extLst>
            <a:ext uri="{FF2B5EF4-FFF2-40B4-BE49-F238E27FC236}">
              <a16:creationId xmlns:a16="http://schemas.microsoft.com/office/drawing/2014/main" id="{C5CA900C-6E23-14D1-6EC4-7BC706DBA3A4}"/>
            </a:ext>
          </a:extLst>
        </xdr:cNvPr>
        <xdr:cNvSpPr/>
      </xdr:nvSpPr>
      <xdr:spPr>
        <a:xfrm>
          <a:off x="13534209288" y="32756619"/>
          <a:ext cx="231223" cy="476250"/>
        </a:xfrm>
        <a:custGeom>
          <a:avLst/>
          <a:gdLst>
            <a:gd name="connsiteX0" fmla="*/ 191536 w 231223"/>
            <a:gd name="connsiteY0" fmla="*/ 0 h 476250"/>
            <a:gd name="connsiteX1" fmla="*/ 314 w 231223"/>
            <a:gd name="connsiteY1" fmla="*/ 263381 h 476250"/>
            <a:gd name="connsiteX2" fmla="*/ 231223 w 231223"/>
            <a:gd name="connsiteY2" fmla="*/ 476250 h 476250"/>
          </a:gdLst>
          <a:ahLst/>
          <a:cxnLst>
            <a:cxn ang="0">
              <a:pos x="connsiteX0" y="connsiteY0"/>
            </a:cxn>
            <a:cxn ang="0">
              <a:pos x="connsiteX1" y="connsiteY1"/>
            </a:cxn>
            <a:cxn ang="0">
              <a:pos x="connsiteX2" y="connsiteY2"/>
            </a:cxn>
          </a:cxnLst>
          <a:rect l="l" t="t" r="r" b="b"/>
          <a:pathLst>
            <a:path w="231223" h="476250">
              <a:moveTo>
                <a:pt x="191536" y="0"/>
              </a:moveTo>
              <a:cubicBezTo>
                <a:pt x="92618" y="92003"/>
                <a:pt x="-6300" y="184006"/>
                <a:pt x="314" y="263381"/>
              </a:cubicBezTo>
              <a:cubicBezTo>
                <a:pt x="6928" y="342756"/>
                <a:pt x="119075" y="409503"/>
                <a:pt x="231223" y="47625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779320</xdr:colOff>
      <xdr:row>192</xdr:row>
      <xdr:rowOff>15440</xdr:rowOff>
    </xdr:from>
    <xdr:ext cx="786839"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00B050"/>
                        </a:solidFill>
                        <a:latin typeface="Cambria Math" panose="02040503050406030204" pitchFamily="18" charset="0"/>
                      </a:rPr>
                      <m:t>4</m:t>
                    </m:r>
                  </m:oMath>
                </m:oMathPara>
              </a14:m>
              <a:endParaRPr lang="en-US" sz="1100">
                <a:solidFill>
                  <a:srgbClr val="00B050"/>
                </a:solidFill>
              </a:endParaRPr>
            </a:p>
          </xdr:txBody>
        </xdr:sp>
      </mc:Choice>
      <mc:Fallback xmlns="">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B050"/>
                  </a:solidFill>
                  <a:latin typeface="Cambria Math" panose="02040503050406030204" pitchFamily="18" charset="0"/>
                </a:rPr>
                <a:t>4</a:t>
              </a:r>
              <a:endParaRPr lang="en-US" sz="1100">
                <a:solidFill>
                  <a:srgbClr val="00B050"/>
                </a:solidFill>
              </a:endParaRPr>
            </a:p>
          </xdr:txBody>
        </xdr:sp>
      </mc:Fallback>
    </mc:AlternateContent>
    <xdr:clientData/>
  </xdr:oneCellAnchor>
  <xdr:twoCellAnchor>
    <xdr:from>
      <xdr:col>3</xdr:col>
      <xdr:colOff>508722</xdr:colOff>
      <xdr:row>189</xdr:row>
      <xdr:rowOff>82983</xdr:rowOff>
    </xdr:from>
    <xdr:to>
      <xdr:col>4</xdr:col>
      <xdr:colOff>349971</xdr:colOff>
      <xdr:row>190</xdr:row>
      <xdr:rowOff>122671</xdr:rowOff>
    </xdr:to>
    <xdr:sp macro="" textlink="">
      <xdr:nvSpPr>
        <xdr:cNvPr id="56" name="Rounded Rectangle 55">
          <a:extLst>
            <a:ext uri="{FF2B5EF4-FFF2-40B4-BE49-F238E27FC236}">
              <a16:creationId xmlns:a16="http://schemas.microsoft.com/office/drawing/2014/main" id="{79CDC2FA-6589-41E0-E27B-BBA6D73B5947}"/>
            </a:ext>
          </a:extLst>
        </xdr:cNvPr>
        <xdr:cNvSpPr/>
      </xdr:nvSpPr>
      <xdr:spPr>
        <a:xfrm>
          <a:off x="13533221023" y="32395824"/>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המכנה</a:t>
          </a:r>
          <a:endParaRPr lang="en-US" sz="1100"/>
        </a:p>
      </xdr:txBody>
    </xdr:sp>
    <xdr:clientData/>
  </xdr:twoCellAnchor>
  <xdr:twoCellAnchor>
    <xdr:from>
      <xdr:col>3</xdr:col>
      <xdr:colOff>479859</xdr:colOff>
      <xdr:row>191</xdr:row>
      <xdr:rowOff>169574</xdr:rowOff>
    </xdr:from>
    <xdr:to>
      <xdr:col>4</xdr:col>
      <xdr:colOff>321108</xdr:colOff>
      <xdr:row>193</xdr:row>
      <xdr:rowOff>7216</xdr:rowOff>
    </xdr:to>
    <xdr:sp macro="" textlink="">
      <xdr:nvSpPr>
        <xdr:cNvPr id="57" name="Rounded Rectangle 56">
          <a:extLst>
            <a:ext uri="{FF2B5EF4-FFF2-40B4-BE49-F238E27FC236}">
              <a16:creationId xmlns:a16="http://schemas.microsoft.com/office/drawing/2014/main" id="{6F3CDD00-E762-AE7A-34F4-7E11136E91C8}"/>
            </a:ext>
          </a:extLst>
        </xdr:cNvPr>
        <xdr:cNvSpPr/>
      </xdr:nvSpPr>
      <xdr:spPr>
        <a:xfrm>
          <a:off x="13533249886" y="32886506"/>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המעריך</a:t>
          </a:r>
          <a:endParaRPr lang="en-US" sz="1100"/>
        </a:p>
      </xdr:txBody>
    </xdr:sp>
    <xdr:clientData/>
  </xdr:twoCellAnchor>
  <xdr:oneCellAnchor>
    <xdr:from>
      <xdr:col>3</xdr:col>
      <xdr:colOff>3609</xdr:colOff>
      <xdr:row>196</xdr:row>
      <xdr:rowOff>109247</xdr:rowOff>
    </xdr:from>
    <xdr:ext cx="1703260" cy="35740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19%</m:t>
                                </m:r>
                              </m:num>
                              <m:den>
                                <m:r>
                                  <a:rPr lang="he-IL" sz="1100" b="0" i="1">
                                    <a:solidFill>
                                      <a:srgbClr val="FF0000"/>
                                    </a:solidFill>
                                    <a:latin typeface="Cambria Math" panose="02040503050406030204" pitchFamily="18" charset="0"/>
                                  </a:rPr>
                                  <m:t>365</m:t>
                                </m:r>
                              </m:den>
                            </m:f>
                          </m:e>
                        </m:d>
                      </m:e>
                      <m:sup>
                        <m:r>
                          <a:rPr lang="he-IL" sz="1100" b="0" i="1">
                            <a:solidFill>
                              <a:srgbClr val="00B050"/>
                            </a:solidFill>
                            <a:latin typeface="Cambria Math" panose="02040503050406030204" pitchFamily="18" charset="0"/>
                          </a:rPr>
                          <m:t>365</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365</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365</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764886</xdr:colOff>
      <xdr:row>203</xdr:row>
      <xdr:rowOff>122671</xdr:rowOff>
    </xdr:from>
    <xdr:to>
      <xdr:col>6</xdr:col>
      <xdr:colOff>173182</xdr:colOff>
      <xdr:row>203</xdr:row>
      <xdr:rowOff>126279</xdr:rowOff>
    </xdr:to>
    <xdr:cxnSp macro="">
      <xdr:nvCxnSpPr>
        <xdr:cNvPr id="64" name="Straight Arrow Connector 63">
          <a:extLst>
            <a:ext uri="{FF2B5EF4-FFF2-40B4-BE49-F238E27FC236}">
              <a16:creationId xmlns:a16="http://schemas.microsoft.com/office/drawing/2014/main" id="{5EC15F32-CB04-262C-6BEB-884869DED740}"/>
            </a:ext>
          </a:extLst>
        </xdr:cNvPr>
        <xdr:cNvCxnSpPr/>
      </xdr:nvCxnSpPr>
      <xdr:spPr>
        <a:xfrm>
          <a:off x="13531684034" y="35264148"/>
          <a:ext cx="3636818" cy="360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580881</xdr:colOff>
      <xdr:row>207</xdr:row>
      <xdr:rowOff>127287</xdr:rowOff>
    </xdr:from>
    <xdr:ext cx="1703260" cy="318036"/>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he-IL" sz="1100" b="0" i="1">
                            <a:solidFill>
                              <a:srgbClr val="FF0000"/>
                            </a:solidFill>
                            <a:latin typeface="Cambria Math" panose="02040503050406030204" pitchFamily="18" charset="0"/>
                          </a:rPr>
                          <m:t>0.18</m:t>
                        </m:r>
                      </m:den>
                    </m:f>
                    <m:r>
                      <a:rPr lang="he-IL"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he-IL" sz="1100" b="0" i="0">
                  <a:solidFill>
                    <a:srgbClr val="FF0000"/>
                  </a:solidFill>
                  <a:latin typeface="Cambria Math" panose="02040503050406030204" pitchFamily="18" charset="0"/>
                </a:rPr>
                <a:t>0.18)</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580881</xdr:colOff>
      <xdr:row>210</xdr:row>
      <xdr:rowOff>29872</xdr:rowOff>
    </xdr:from>
    <xdr:ext cx="1703260" cy="31688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solidFill>
                              <a:srgbClr val="FF0000"/>
                            </a:solidFill>
                            <a:latin typeface="Cambria Math" panose="02040503050406030204" pitchFamily="18" charset="0"/>
                          </a:rPr>
                          <m:t>𝑑</m:t>
                        </m:r>
                      </m:den>
                    </m:f>
                    <m:r>
                      <a:rPr lang="he-IL"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solidFill>
                    <a:srgbClr val="FF0000"/>
                  </a:solidFill>
                  <a:latin typeface="Cambria Math" panose="02040503050406030204" pitchFamily="18" charset="0"/>
                </a:rPr>
                <a:t>𝑑</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4</xdr:col>
      <xdr:colOff>512330</xdr:colOff>
      <xdr:row>207</xdr:row>
      <xdr:rowOff>169574</xdr:rowOff>
    </xdr:from>
    <xdr:to>
      <xdr:col>8</xdr:col>
      <xdr:colOff>28864</xdr:colOff>
      <xdr:row>213</xdr:row>
      <xdr:rowOff>111847</xdr:rowOff>
    </xdr:to>
    <xdr:sp macro="" textlink="">
      <xdr:nvSpPr>
        <xdr:cNvPr id="67" name="Rounded Rectangle 66">
          <a:extLst>
            <a:ext uri="{FF2B5EF4-FFF2-40B4-BE49-F238E27FC236}">
              <a16:creationId xmlns:a16="http://schemas.microsoft.com/office/drawing/2014/main" id="{D8239684-75CF-7EB4-3D38-51739A92E387}"/>
            </a:ext>
          </a:extLst>
        </xdr:cNvPr>
        <xdr:cNvSpPr/>
      </xdr:nvSpPr>
      <xdr:spPr>
        <a:xfrm>
          <a:off x="13530175908" y="36119233"/>
          <a:ext cx="2882756" cy="115454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בדף</a:t>
          </a:r>
          <a:r>
            <a:rPr lang="he-IL" sz="1100" baseline="0"/>
            <a:t> הנוסחאות, הנוסחה של ריבית מראש מורכבת יותר וכוללת גם חלוקה ומעריך. נוסחה כזו רלוונטית רק אם סיפרו לי שגם הריבית מראש מחושבת כמה פעמים. אם יש אזכור כללי של ריבית מראש וזהו, אין צורך בחלוקות והחזקות.</a:t>
          </a:r>
          <a:endParaRPr lang="en-US" sz="1100"/>
        </a:p>
      </xdr:txBody>
    </xdr:sp>
    <xdr:clientData/>
  </xdr:twoCellAnchor>
  <xdr:oneCellAnchor>
    <xdr:from>
      <xdr:col>3</xdr:col>
      <xdr:colOff>407700</xdr:colOff>
      <xdr:row>202</xdr:row>
      <xdr:rowOff>73168</xdr:rowOff>
    </xdr:from>
    <xdr:ext cx="1125987" cy="33913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8</xdr:col>
      <xdr:colOff>411309</xdr:colOff>
      <xdr:row>209</xdr:row>
      <xdr:rowOff>76775</xdr:rowOff>
    </xdr:from>
    <xdr:ext cx="1125987" cy="481670"/>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e>
                            </m:d>
                          </m:e>
                          <m:sup>
                            <m:r>
                              <a:rPr lang="en-US" sz="1100" b="0" i="1">
                                <a:latin typeface="Cambria Math" panose="02040503050406030204" pitchFamily="18" charset="0"/>
                              </a:rPr>
                              <m:t>𝑛</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𝑟_𝑒=1/(1−𝑑/𝑚)^𝑛 −1</a:t>
              </a:r>
              <a:endParaRPr lang="en-US" sz="1100"/>
            </a:p>
          </xdr:txBody>
        </xdr:sp>
      </mc:Fallback>
    </mc:AlternateContent>
    <xdr:clientData/>
  </xdr:oneCellAnchor>
  <xdr:twoCellAnchor>
    <xdr:from>
      <xdr:col>8</xdr:col>
      <xdr:colOff>28864</xdr:colOff>
      <xdr:row>210</xdr:row>
      <xdr:rowOff>68552</xdr:rowOff>
    </xdr:from>
    <xdr:to>
      <xdr:col>8</xdr:col>
      <xdr:colOff>368011</xdr:colOff>
      <xdr:row>210</xdr:row>
      <xdr:rowOff>140711</xdr:rowOff>
    </xdr:to>
    <xdr:cxnSp macro="">
      <xdr:nvCxnSpPr>
        <xdr:cNvPr id="71" name="Straight Arrow Connector 70">
          <a:extLst>
            <a:ext uri="{FF2B5EF4-FFF2-40B4-BE49-F238E27FC236}">
              <a16:creationId xmlns:a16="http://schemas.microsoft.com/office/drawing/2014/main" id="{49FC3244-39BC-9831-9804-C3A65BE1983F}"/>
            </a:ext>
          </a:extLst>
        </xdr:cNvPr>
        <xdr:cNvCxnSpPr>
          <a:stCxn id="67" idx="1"/>
        </xdr:cNvCxnSpPr>
      </xdr:nvCxnSpPr>
      <xdr:spPr>
        <a:xfrm flipH="1" flipV="1">
          <a:off x="13529836761" y="36624347"/>
          <a:ext cx="339147" cy="7215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732416</xdr:colOff>
      <xdr:row>218</xdr:row>
      <xdr:rowOff>170582</xdr:rowOff>
    </xdr:from>
    <xdr:ext cx="1703260"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𝑅</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𝑅_𝑛=(1+𝑅_𝑅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twoCellAnchor>
    <xdr:from>
      <xdr:col>5</xdr:col>
      <xdr:colOff>465425</xdr:colOff>
      <xdr:row>219</xdr:row>
      <xdr:rowOff>162358</xdr:rowOff>
    </xdr:from>
    <xdr:to>
      <xdr:col>5</xdr:col>
      <xdr:colOff>469033</xdr:colOff>
      <xdr:row>221</xdr:row>
      <xdr:rowOff>180398</xdr:rowOff>
    </xdr:to>
    <xdr:cxnSp macro="">
      <xdr:nvCxnSpPr>
        <xdr:cNvPr id="74" name="Straight Arrow Connector 73">
          <a:extLst>
            <a:ext uri="{FF2B5EF4-FFF2-40B4-BE49-F238E27FC236}">
              <a16:creationId xmlns:a16="http://schemas.microsoft.com/office/drawing/2014/main" id="{28C47219-8808-64E6-53EC-BA2F524D146B}"/>
            </a:ext>
          </a:extLst>
        </xdr:cNvPr>
        <xdr:cNvCxnSpPr/>
      </xdr:nvCxnSpPr>
      <xdr:spPr>
        <a:xfrm>
          <a:off x="13532275739" y="38536563"/>
          <a:ext cx="3608" cy="42213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609744</xdr:colOff>
      <xdr:row>219</xdr:row>
      <xdr:rowOff>158750</xdr:rowOff>
    </xdr:from>
    <xdr:to>
      <xdr:col>4</xdr:col>
      <xdr:colOff>613351</xdr:colOff>
      <xdr:row>225</xdr:row>
      <xdr:rowOff>7216</xdr:rowOff>
    </xdr:to>
    <xdr:cxnSp macro="">
      <xdr:nvCxnSpPr>
        <xdr:cNvPr id="75" name="Straight Arrow Connector 74">
          <a:extLst>
            <a:ext uri="{FF2B5EF4-FFF2-40B4-BE49-F238E27FC236}">
              <a16:creationId xmlns:a16="http://schemas.microsoft.com/office/drawing/2014/main" id="{1D3605AF-511D-4B25-5155-07757CB706B6}"/>
            </a:ext>
          </a:extLst>
        </xdr:cNvPr>
        <xdr:cNvCxnSpPr/>
      </xdr:nvCxnSpPr>
      <xdr:spPr>
        <a:xfrm>
          <a:off x="13532957643" y="38532955"/>
          <a:ext cx="3607" cy="106073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443779</xdr:colOff>
      <xdr:row>219</xdr:row>
      <xdr:rowOff>115454</xdr:rowOff>
    </xdr:from>
    <xdr:to>
      <xdr:col>4</xdr:col>
      <xdr:colOff>21647</xdr:colOff>
      <xdr:row>221</xdr:row>
      <xdr:rowOff>72159</xdr:rowOff>
    </xdr:to>
    <xdr:cxnSp macro="">
      <xdr:nvCxnSpPr>
        <xdr:cNvPr id="77" name="Straight Arrow Connector 76">
          <a:extLst>
            <a:ext uri="{FF2B5EF4-FFF2-40B4-BE49-F238E27FC236}">
              <a16:creationId xmlns:a16="http://schemas.microsoft.com/office/drawing/2014/main" id="{47A99147-1010-C355-3CAD-C4873D102974}"/>
            </a:ext>
          </a:extLst>
        </xdr:cNvPr>
        <xdr:cNvCxnSpPr/>
      </xdr:nvCxnSpPr>
      <xdr:spPr>
        <a:xfrm>
          <a:off x="13533549347" y="38489659"/>
          <a:ext cx="404090" cy="36079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642216</xdr:colOff>
      <xdr:row>227</xdr:row>
      <xdr:rowOff>80383</xdr:rowOff>
    </xdr:from>
    <xdr:ext cx="4712297" cy="173766"/>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18%</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m:t>
                        </m:r>
                      </m:e>
                    </m:d>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𝑅</m:t>
                        </m:r>
                      </m:e>
                      <m:sub>
                        <m:r>
                          <a:rPr lang="en-US" sz="1100" b="0" i="1">
                            <a:latin typeface="Cambria Math" panose="02040503050406030204" pitchFamily="18" charset="0"/>
                            <a:ea typeface="Cambria Math" panose="02040503050406030204" pitchFamily="18" charset="0"/>
                          </a:rPr>
                          <m:t>𝑛</m:t>
                        </m:r>
                      </m:sub>
                    </m:sSub>
                    <m:r>
                      <a:rPr lang="en-US" sz="1100" b="0" i="1">
                        <a:latin typeface="Cambria Math" panose="02040503050406030204" pitchFamily="18" charset="0"/>
                        <a:ea typeface="Cambria Math" panose="02040503050406030204" pitchFamily="18" charset="0"/>
                      </a:rPr>
                      <m:t>=1.18∗1.03−1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a:t>
              </a:r>
              <a:r>
                <a:rPr lang="he-IL" sz="1100" b="0" i="0">
                  <a:latin typeface="Cambria Math" panose="02040503050406030204" pitchFamily="18" charset="0"/>
                </a:rPr>
                <a:t>18%</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a:t>
              </a:r>
              <a:r>
                <a:rPr lang="en-US" sz="1100" b="0" i="0">
                  <a:latin typeface="Cambria Math" panose="02040503050406030204" pitchFamily="18" charset="0"/>
                  <a:ea typeface="Cambria Math" panose="02040503050406030204" pitchFamily="18" charset="0"/>
                </a:rPr>
                <a:t>)→𝑅_𝑛=1.18∗1.03−1</a:t>
              </a:r>
              <a:endParaRPr lang="en-US" sz="1100"/>
            </a:p>
          </xdr:txBody>
        </xdr:sp>
      </mc:Fallback>
    </mc:AlternateContent>
    <xdr:clientData/>
  </xdr:oneCellAnchor>
  <xdr:twoCellAnchor editAs="oneCell">
    <xdr:from>
      <xdr:col>0</xdr:col>
      <xdr:colOff>25257</xdr:colOff>
      <xdr:row>240</xdr:row>
      <xdr:rowOff>14432</xdr:rowOff>
    </xdr:from>
    <xdr:to>
      <xdr:col>7</xdr:col>
      <xdr:colOff>526762</xdr:colOff>
      <xdr:row>248</xdr:row>
      <xdr:rowOff>14171</xdr:rowOff>
    </xdr:to>
    <xdr:pic>
      <xdr:nvPicPr>
        <xdr:cNvPr id="80" name="Picture 79">
          <a:extLst>
            <a:ext uri="{FF2B5EF4-FFF2-40B4-BE49-F238E27FC236}">
              <a16:creationId xmlns:a16="http://schemas.microsoft.com/office/drawing/2014/main" id="{3C02E118-93C6-CA70-2F9E-CEDE5DC789F7}"/>
            </a:ext>
          </a:extLst>
        </xdr:cNvPr>
        <xdr:cNvPicPr>
          <a:picLocks noChangeAspect="1"/>
        </xdr:cNvPicPr>
      </xdr:nvPicPr>
      <xdr:blipFill>
        <a:blip xmlns:r="http://schemas.openxmlformats.org/officeDocument/2006/relationships" r:embed="rId5"/>
        <a:stretch>
          <a:fillRect/>
        </a:stretch>
      </xdr:blipFill>
      <xdr:spPr>
        <a:xfrm>
          <a:off x="13530504232" y="42646023"/>
          <a:ext cx="6382471" cy="1616104"/>
        </a:xfrm>
        <a:prstGeom prst="rect">
          <a:avLst/>
        </a:prstGeom>
      </xdr:spPr>
    </xdr:pic>
    <xdr:clientData/>
  </xdr:twoCellAnchor>
  <xdr:twoCellAnchor>
    <xdr:from>
      <xdr:col>3</xdr:col>
      <xdr:colOff>29650</xdr:colOff>
      <xdr:row>259</xdr:row>
      <xdr:rowOff>98833</xdr:rowOff>
    </xdr:from>
    <xdr:to>
      <xdr:col>3</xdr:col>
      <xdr:colOff>459572</xdr:colOff>
      <xdr:row>259</xdr:row>
      <xdr:rowOff>103774</xdr:rowOff>
    </xdr:to>
    <xdr:cxnSp macro="">
      <xdr:nvCxnSpPr>
        <xdr:cNvPr id="82" name="Straight Connector 81">
          <a:extLst>
            <a:ext uri="{FF2B5EF4-FFF2-40B4-BE49-F238E27FC236}">
              <a16:creationId xmlns:a16="http://schemas.microsoft.com/office/drawing/2014/main" id="{20EF67C3-E3CC-CAF4-F25D-C67C9C994D2A}"/>
            </a:ext>
          </a:extLst>
        </xdr:cNvPr>
        <xdr:cNvCxnSpPr/>
      </xdr:nvCxnSpPr>
      <xdr:spPr>
        <a:xfrm flipH="1" flipV="1">
          <a:off x="13518072724" y="46698444"/>
          <a:ext cx="429922" cy="494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454631</xdr:colOff>
      <xdr:row>259</xdr:row>
      <xdr:rowOff>88950</xdr:rowOff>
    </xdr:from>
    <xdr:to>
      <xdr:col>3</xdr:col>
      <xdr:colOff>459573</xdr:colOff>
      <xdr:row>264</xdr:row>
      <xdr:rowOff>79066</xdr:rowOff>
    </xdr:to>
    <xdr:cxnSp macro="">
      <xdr:nvCxnSpPr>
        <xdr:cNvPr id="83" name="Straight Connector 82">
          <a:extLst>
            <a:ext uri="{FF2B5EF4-FFF2-40B4-BE49-F238E27FC236}">
              <a16:creationId xmlns:a16="http://schemas.microsoft.com/office/drawing/2014/main" id="{F741FC91-E2C5-50DC-5F82-C669E86C00BE}"/>
            </a:ext>
          </a:extLst>
        </xdr:cNvPr>
        <xdr:cNvCxnSpPr/>
      </xdr:nvCxnSpPr>
      <xdr:spPr>
        <a:xfrm flipH="1" flipV="1">
          <a:off x="13518072723" y="46688561"/>
          <a:ext cx="4942" cy="100315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153192</xdr:colOff>
      <xdr:row>265</xdr:row>
      <xdr:rowOff>12254</xdr:rowOff>
    </xdr:from>
    <xdr:ext cx="2358707" cy="177228"/>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1+1.5%</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(1+1.5%)^12−1</a:t>
              </a:r>
              <a:endParaRPr lang="en-US" sz="1100"/>
            </a:p>
          </xdr:txBody>
        </xdr:sp>
      </mc:Fallback>
    </mc:AlternateContent>
    <xdr:clientData/>
  </xdr:oneCellAnchor>
  <xdr:oneCellAnchor>
    <xdr:from>
      <xdr:col>2</xdr:col>
      <xdr:colOff>168017</xdr:colOff>
      <xdr:row>267</xdr:row>
      <xdr:rowOff>76496</xdr:rowOff>
    </xdr:from>
    <xdr:ext cx="2358707" cy="177228"/>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(1+𝑟)^𝑛−1</a:t>
              </a:r>
              <a:endParaRPr lang="en-US" sz="1100"/>
            </a:p>
          </xdr:txBody>
        </xdr:sp>
      </mc:Fallback>
    </mc:AlternateContent>
    <xdr:clientData/>
  </xdr:oneCellAnchor>
  <xdr:twoCellAnchor editAs="oneCell">
    <xdr:from>
      <xdr:col>0</xdr:col>
      <xdr:colOff>1</xdr:colOff>
      <xdr:row>276</xdr:row>
      <xdr:rowOff>0</xdr:rowOff>
    </xdr:from>
    <xdr:to>
      <xdr:col>7</xdr:col>
      <xdr:colOff>674256</xdr:colOff>
      <xdr:row>285</xdr:row>
      <xdr:rowOff>37354</xdr:rowOff>
    </xdr:to>
    <xdr:pic>
      <xdr:nvPicPr>
        <xdr:cNvPr id="58" name="Picture 57">
          <a:extLst>
            <a:ext uri="{FF2B5EF4-FFF2-40B4-BE49-F238E27FC236}">
              <a16:creationId xmlns:a16="http://schemas.microsoft.com/office/drawing/2014/main" id="{127484F6-9BFB-698C-B0AB-FAECA9B3C1C8}"/>
            </a:ext>
          </a:extLst>
        </xdr:cNvPr>
        <xdr:cNvPicPr>
          <a:picLocks noChangeAspect="1"/>
        </xdr:cNvPicPr>
      </xdr:nvPicPr>
      <xdr:blipFill>
        <a:blip xmlns:r="http://schemas.openxmlformats.org/officeDocument/2006/relationships" r:embed="rId6"/>
        <a:stretch>
          <a:fillRect/>
        </a:stretch>
      </xdr:blipFill>
      <xdr:spPr>
        <a:xfrm>
          <a:off x="13537447235" y="50185782"/>
          <a:ext cx="6562437" cy="1866154"/>
        </a:xfrm>
        <a:prstGeom prst="rect">
          <a:avLst/>
        </a:prstGeom>
      </xdr:spPr>
    </xdr:pic>
    <xdr:clientData/>
  </xdr:twoCellAnchor>
  <xdr:twoCellAnchor editAs="oneCell">
    <xdr:from>
      <xdr:col>0</xdr:col>
      <xdr:colOff>0</xdr:colOff>
      <xdr:row>314</xdr:row>
      <xdr:rowOff>105834</xdr:rowOff>
    </xdr:from>
    <xdr:to>
      <xdr:col>7</xdr:col>
      <xdr:colOff>337853</xdr:colOff>
      <xdr:row>319</xdr:row>
      <xdr:rowOff>80387</xdr:rowOff>
    </xdr:to>
    <xdr:pic>
      <xdr:nvPicPr>
        <xdr:cNvPr id="59" name="Picture 58">
          <a:extLst>
            <a:ext uri="{FF2B5EF4-FFF2-40B4-BE49-F238E27FC236}">
              <a16:creationId xmlns:a16="http://schemas.microsoft.com/office/drawing/2014/main" id="{C1BD3694-5DE3-55BC-7D86-93A68887B6A3}"/>
            </a:ext>
          </a:extLst>
        </xdr:cNvPr>
        <xdr:cNvPicPr>
          <a:picLocks noChangeAspect="1"/>
        </xdr:cNvPicPr>
      </xdr:nvPicPr>
      <xdr:blipFill>
        <a:blip xmlns:r="http://schemas.openxmlformats.org/officeDocument/2006/relationships" r:embed="rId7"/>
        <a:stretch>
          <a:fillRect/>
        </a:stretch>
      </xdr:blipFill>
      <xdr:spPr>
        <a:xfrm>
          <a:off x="13532208205" y="58122853"/>
          <a:ext cx="6219744" cy="992182"/>
        </a:xfrm>
        <a:prstGeom prst="rect">
          <a:avLst/>
        </a:prstGeom>
      </xdr:spPr>
    </xdr:pic>
    <xdr:clientData/>
  </xdr:twoCellAnchor>
  <xdr:twoCellAnchor editAs="oneCell">
    <xdr:from>
      <xdr:col>0</xdr:col>
      <xdr:colOff>12291</xdr:colOff>
      <xdr:row>425</xdr:row>
      <xdr:rowOff>81936</xdr:rowOff>
    </xdr:from>
    <xdr:to>
      <xdr:col>7</xdr:col>
      <xdr:colOff>598130</xdr:colOff>
      <xdr:row>431</xdr:row>
      <xdr:rowOff>147076</xdr:rowOff>
    </xdr:to>
    <xdr:pic>
      <xdr:nvPicPr>
        <xdr:cNvPr id="60" name="Picture 59">
          <a:extLst>
            <a:ext uri="{FF2B5EF4-FFF2-40B4-BE49-F238E27FC236}">
              <a16:creationId xmlns:a16="http://schemas.microsoft.com/office/drawing/2014/main" id="{DB80470C-98B2-9491-42D6-B52D0F38C6D9}"/>
            </a:ext>
          </a:extLst>
        </xdr:cNvPr>
        <xdr:cNvPicPr>
          <a:picLocks noChangeAspect="1"/>
        </xdr:cNvPicPr>
      </xdr:nvPicPr>
      <xdr:blipFill>
        <a:blip xmlns:r="http://schemas.openxmlformats.org/officeDocument/2006/relationships" r:embed="rId8"/>
        <a:stretch>
          <a:fillRect/>
        </a:stretch>
      </xdr:blipFill>
      <xdr:spPr>
        <a:xfrm>
          <a:off x="13552161806" y="72213839"/>
          <a:ext cx="6477000" cy="1294173"/>
        </a:xfrm>
        <a:prstGeom prst="rect">
          <a:avLst/>
        </a:prstGeom>
      </xdr:spPr>
    </xdr:pic>
    <xdr:clientData/>
  </xdr:twoCellAnchor>
  <xdr:twoCellAnchor editAs="oneCell">
    <xdr:from>
      <xdr:col>0</xdr:col>
      <xdr:colOff>3969</xdr:colOff>
      <xdr:row>547</xdr:row>
      <xdr:rowOff>63501</xdr:rowOff>
    </xdr:from>
    <xdr:to>
      <xdr:col>7</xdr:col>
      <xdr:colOff>523875</xdr:colOff>
      <xdr:row>558</xdr:row>
      <xdr:rowOff>54380</xdr:rowOff>
    </xdr:to>
    <xdr:pic>
      <xdr:nvPicPr>
        <xdr:cNvPr id="61" name="Picture 60">
          <a:extLst>
            <a:ext uri="{FF2B5EF4-FFF2-40B4-BE49-F238E27FC236}">
              <a16:creationId xmlns:a16="http://schemas.microsoft.com/office/drawing/2014/main" id="{56D8903B-01C1-C00D-945B-B58D3B75C775}"/>
            </a:ext>
          </a:extLst>
        </xdr:cNvPr>
        <xdr:cNvPicPr>
          <a:picLocks noChangeAspect="1"/>
        </xdr:cNvPicPr>
      </xdr:nvPicPr>
      <xdr:blipFill>
        <a:blip xmlns:r="http://schemas.openxmlformats.org/officeDocument/2006/relationships" r:embed="rId9"/>
        <a:stretch>
          <a:fillRect/>
        </a:stretch>
      </xdr:blipFill>
      <xdr:spPr>
        <a:xfrm>
          <a:off x="13518689625" y="96107251"/>
          <a:ext cx="6401594" cy="2217346"/>
        </a:xfrm>
        <a:prstGeom prst="rect">
          <a:avLst/>
        </a:prstGeom>
      </xdr:spPr>
    </xdr:pic>
    <xdr:clientData/>
  </xdr:twoCellAnchor>
  <xdr:oneCellAnchor>
    <xdr:from>
      <xdr:col>2</xdr:col>
      <xdr:colOff>413373</xdr:colOff>
      <xdr:row>567</xdr:row>
      <xdr:rowOff>23406</xdr:rowOff>
    </xdr:from>
    <xdr:ext cx="512979"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568</xdr:row>
      <xdr:rowOff>18426</xdr:rowOff>
    </xdr:from>
    <xdr:ext cx="512979" cy="173766"/>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569</xdr:row>
      <xdr:rowOff>28388</xdr:rowOff>
    </xdr:from>
    <xdr:ext cx="697254" cy="220632"/>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twoCellAnchor>
    <xdr:from>
      <xdr:col>9</xdr:col>
      <xdr:colOff>169012</xdr:colOff>
      <xdr:row>572</xdr:row>
      <xdr:rowOff>173841</xdr:rowOff>
    </xdr:from>
    <xdr:to>
      <xdr:col>10</xdr:col>
      <xdr:colOff>318708</xdr:colOff>
      <xdr:row>576</xdr:row>
      <xdr:rowOff>24145</xdr:rowOff>
    </xdr:to>
    <xdr:sp macro="" textlink="">
      <xdr:nvSpPr>
        <xdr:cNvPr id="76" name="Smiley Face 75">
          <a:extLst>
            <a:ext uri="{FF2B5EF4-FFF2-40B4-BE49-F238E27FC236}">
              <a16:creationId xmlns:a16="http://schemas.microsoft.com/office/drawing/2014/main" id="{6E2C8B0C-75ED-D979-E38A-8FC290C214B6}"/>
            </a:ext>
          </a:extLst>
        </xdr:cNvPr>
        <xdr:cNvSpPr/>
      </xdr:nvSpPr>
      <xdr:spPr>
        <a:xfrm>
          <a:off x="13520371711" y="101517909"/>
          <a:ext cx="975437" cy="661559"/>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10</xdr:col>
      <xdr:colOff>511864</xdr:colOff>
      <xdr:row>572</xdr:row>
      <xdr:rowOff>111066</xdr:rowOff>
    </xdr:from>
    <xdr:to>
      <xdr:col>12</xdr:col>
      <xdr:colOff>661560</xdr:colOff>
      <xdr:row>574</xdr:row>
      <xdr:rowOff>48290</xdr:rowOff>
    </xdr:to>
    <xdr:sp macro="" textlink="">
      <xdr:nvSpPr>
        <xdr:cNvPr id="78" name="Rounded Rectangular Callout 77">
          <a:extLst>
            <a:ext uri="{FF2B5EF4-FFF2-40B4-BE49-F238E27FC236}">
              <a16:creationId xmlns:a16="http://schemas.microsoft.com/office/drawing/2014/main" id="{8AEC6074-6E6D-82F8-AA80-EC16E754C6E8}"/>
            </a:ext>
          </a:extLst>
        </xdr:cNvPr>
        <xdr:cNvSpPr/>
      </xdr:nvSpPr>
      <xdr:spPr>
        <a:xfrm>
          <a:off x="13518377376" y="101455134"/>
          <a:ext cx="1801179" cy="34285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שי זה מהיר מדי ולא ברור!!!</a:t>
          </a:r>
          <a:endParaRPr lang="en-US" sz="1100" kern="1200"/>
        </a:p>
      </xdr:txBody>
    </xdr:sp>
    <xdr:clientData/>
  </xdr:twoCellAnchor>
  <xdr:twoCellAnchor editAs="oneCell">
    <xdr:from>
      <xdr:col>9</xdr:col>
      <xdr:colOff>0</xdr:colOff>
      <xdr:row>578</xdr:row>
      <xdr:rowOff>0</xdr:rowOff>
    </xdr:from>
    <xdr:to>
      <xdr:col>10</xdr:col>
      <xdr:colOff>431559</xdr:colOff>
      <xdr:row>584</xdr:row>
      <xdr:rowOff>192816</xdr:rowOff>
    </xdr:to>
    <xdr:pic>
      <xdr:nvPicPr>
        <xdr:cNvPr id="81" name="Picture 80">
          <a:extLst>
            <a:ext uri="{FF2B5EF4-FFF2-40B4-BE49-F238E27FC236}">
              <a16:creationId xmlns:a16="http://schemas.microsoft.com/office/drawing/2014/main" id="{6C8FC0ED-7469-2B46-772C-EA4B0256A2D9}"/>
            </a:ext>
          </a:extLst>
        </xdr:cNvPr>
        <xdr:cNvPicPr>
          <a:picLocks noChangeAspect="1"/>
        </xdr:cNvPicPr>
      </xdr:nvPicPr>
      <xdr:blipFill>
        <a:blip xmlns:r="http://schemas.openxmlformats.org/officeDocument/2006/relationships" r:embed="rId10"/>
        <a:stretch>
          <a:fillRect/>
        </a:stretch>
      </xdr:blipFill>
      <xdr:spPr>
        <a:xfrm>
          <a:off x="13520258860" y="102560951"/>
          <a:ext cx="1257300" cy="1409700"/>
        </a:xfrm>
        <a:prstGeom prst="rect">
          <a:avLst/>
        </a:prstGeom>
      </xdr:spPr>
    </xdr:pic>
    <xdr:clientData/>
  </xdr:twoCellAnchor>
  <xdr:twoCellAnchor>
    <xdr:from>
      <xdr:col>10</xdr:col>
      <xdr:colOff>521521</xdr:colOff>
      <xdr:row>579</xdr:row>
      <xdr:rowOff>14488</xdr:rowOff>
    </xdr:from>
    <xdr:to>
      <xdr:col>12</xdr:col>
      <xdr:colOff>671217</xdr:colOff>
      <xdr:row>582</xdr:row>
      <xdr:rowOff>91749</xdr:rowOff>
    </xdr:to>
    <xdr:sp macro="" textlink="">
      <xdr:nvSpPr>
        <xdr:cNvPr id="84" name="Rounded Rectangular Callout 83">
          <a:extLst>
            <a:ext uri="{FF2B5EF4-FFF2-40B4-BE49-F238E27FC236}">
              <a16:creationId xmlns:a16="http://schemas.microsoft.com/office/drawing/2014/main" id="{0C43B92A-F11D-2908-7F05-CD2FB10FC65C}"/>
            </a:ext>
          </a:extLst>
        </xdr:cNvPr>
        <xdr:cNvSpPr/>
      </xdr:nvSpPr>
      <xdr:spPr>
        <a:xfrm>
          <a:off x="13518367719" y="102778252"/>
          <a:ext cx="1801179" cy="68570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צפה</a:t>
          </a:r>
          <a:r>
            <a:rPr lang="he-IL" sz="1100" kern="1200" baseline="0"/>
            <a:t> בשאלה 1 תרגול קודם יא נקניק זה אותו דבר רק בלי השורה של הון חוזר</a:t>
          </a:r>
          <a:endParaRPr lang="en-US" sz="1100" kern="1200"/>
        </a:p>
      </xdr:txBody>
    </xdr:sp>
    <xdr:clientData/>
  </xdr:twoCellAnchor>
  <xdr:twoCellAnchor editAs="oneCell">
    <xdr:from>
      <xdr:col>7</xdr:col>
      <xdr:colOff>669456</xdr:colOff>
      <xdr:row>593</xdr:row>
      <xdr:rowOff>22901</xdr:rowOff>
    </xdr:from>
    <xdr:to>
      <xdr:col>14</xdr:col>
      <xdr:colOff>150901</xdr:colOff>
      <xdr:row>603</xdr:row>
      <xdr:rowOff>192171</xdr:rowOff>
    </xdr:to>
    <xdr:pic>
      <xdr:nvPicPr>
        <xdr:cNvPr id="85" name="Picture 84">
          <a:extLst>
            <a:ext uri="{FF2B5EF4-FFF2-40B4-BE49-F238E27FC236}">
              <a16:creationId xmlns:a16="http://schemas.microsoft.com/office/drawing/2014/main" id="{E77AE1E2-932E-BCB7-87BA-36173DAE236D}"/>
            </a:ext>
          </a:extLst>
        </xdr:cNvPr>
        <xdr:cNvPicPr>
          <a:picLocks noChangeAspect="1"/>
        </xdr:cNvPicPr>
      </xdr:nvPicPr>
      <xdr:blipFill>
        <a:blip xmlns:r="http://schemas.openxmlformats.org/officeDocument/2006/relationships" r:embed="rId11"/>
        <a:stretch>
          <a:fillRect/>
        </a:stretch>
      </xdr:blipFill>
      <xdr:spPr>
        <a:xfrm>
          <a:off x="13537448556" y="105117862"/>
          <a:ext cx="5280127" cy="2187487"/>
        </a:xfrm>
        <a:prstGeom prst="rect">
          <a:avLst/>
        </a:prstGeom>
      </xdr:spPr>
    </xdr:pic>
    <xdr:clientData/>
  </xdr:twoCellAnchor>
  <xdr:twoCellAnchor editAs="oneCell">
    <xdr:from>
      <xdr:col>0</xdr:col>
      <xdr:colOff>29537</xdr:colOff>
      <xdr:row>37</xdr:row>
      <xdr:rowOff>73836</xdr:rowOff>
    </xdr:from>
    <xdr:to>
      <xdr:col>7</xdr:col>
      <xdr:colOff>546395</xdr:colOff>
      <xdr:row>57</xdr:row>
      <xdr:rowOff>155099</xdr:rowOff>
    </xdr:to>
    <xdr:pic>
      <xdr:nvPicPr>
        <xdr:cNvPr id="88" name="Picture 87">
          <a:extLst>
            <a:ext uri="{FF2B5EF4-FFF2-40B4-BE49-F238E27FC236}">
              <a16:creationId xmlns:a16="http://schemas.microsoft.com/office/drawing/2014/main" id="{BA18A115-3719-3060-CF14-ADA470AFF72E}"/>
            </a:ext>
          </a:extLst>
        </xdr:cNvPr>
        <xdr:cNvPicPr>
          <a:picLocks noChangeAspect="1"/>
        </xdr:cNvPicPr>
      </xdr:nvPicPr>
      <xdr:blipFill>
        <a:blip xmlns:r="http://schemas.openxmlformats.org/officeDocument/2006/relationships" r:embed="rId12"/>
        <a:stretch>
          <a:fillRect/>
        </a:stretch>
      </xdr:blipFill>
      <xdr:spPr>
        <a:xfrm>
          <a:off x="13542851744" y="7541239"/>
          <a:ext cx="6404145" cy="4126967"/>
        </a:xfrm>
        <a:prstGeom prst="rect">
          <a:avLst/>
        </a:prstGeom>
      </xdr:spPr>
    </xdr:pic>
    <xdr:clientData/>
  </xdr:twoCellAnchor>
  <xdr:twoCellAnchor>
    <xdr:from>
      <xdr:col>4</xdr:col>
      <xdr:colOff>162442</xdr:colOff>
      <xdr:row>41</xdr:row>
      <xdr:rowOff>19690</xdr:rowOff>
    </xdr:from>
    <xdr:to>
      <xdr:col>5</xdr:col>
      <xdr:colOff>516860</xdr:colOff>
      <xdr:row>42</xdr:row>
      <xdr:rowOff>127984</xdr:rowOff>
    </xdr:to>
    <xdr:sp macro="" textlink="">
      <xdr:nvSpPr>
        <xdr:cNvPr id="89" name="Rounded Rectangle 88">
          <a:extLst>
            <a:ext uri="{FF2B5EF4-FFF2-40B4-BE49-F238E27FC236}">
              <a16:creationId xmlns:a16="http://schemas.microsoft.com/office/drawing/2014/main" id="{2E1ECAE4-8578-EA22-2BFC-68590D73CA9C}"/>
            </a:ext>
          </a:extLst>
        </xdr:cNvPr>
        <xdr:cNvSpPr/>
      </xdr:nvSpPr>
      <xdr:spPr>
        <a:xfrm>
          <a:off x="13544599225" y="8294380"/>
          <a:ext cx="1181395" cy="310116"/>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630078</xdr:colOff>
      <xdr:row>42</xdr:row>
      <xdr:rowOff>127983</xdr:rowOff>
    </xdr:from>
    <xdr:to>
      <xdr:col>3</xdr:col>
      <xdr:colOff>502092</xdr:colOff>
      <xdr:row>44</xdr:row>
      <xdr:rowOff>24611</xdr:rowOff>
    </xdr:to>
    <xdr:sp macro="" textlink="">
      <xdr:nvSpPr>
        <xdr:cNvPr id="90" name="Rounded Rectangle 89">
          <a:extLst>
            <a:ext uri="{FF2B5EF4-FFF2-40B4-BE49-F238E27FC236}">
              <a16:creationId xmlns:a16="http://schemas.microsoft.com/office/drawing/2014/main" id="{455F7B19-081A-E623-4E83-89F0E237B10E}"/>
            </a:ext>
          </a:extLst>
        </xdr:cNvPr>
        <xdr:cNvSpPr/>
      </xdr:nvSpPr>
      <xdr:spPr>
        <a:xfrm>
          <a:off x="13546267946" y="8604495"/>
          <a:ext cx="733449" cy="300271"/>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488950</xdr:colOff>
      <xdr:row>63</xdr:row>
      <xdr:rowOff>139700</xdr:rowOff>
    </xdr:from>
    <xdr:to>
      <xdr:col>12</xdr:col>
      <xdr:colOff>565150</xdr:colOff>
      <xdr:row>69</xdr:row>
      <xdr:rowOff>57150</xdr:rowOff>
    </xdr:to>
    <xdr:cxnSp macro="">
      <xdr:nvCxnSpPr>
        <xdr:cNvPr id="92" name="Straight Connector 91">
          <a:extLst>
            <a:ext uri="{FF2B5EF4-FFF2-40B4-BE49-F238E27FC236}">
              <a16:creationId xmlns:a16="http://schemas.microsoft.com/office/drawing/2014/main" id="{61A9FFE6-8ECA-C405-B381-D9A196094593}"/>
            </a:ext>
          </a:extLst>
        </xdr:cNvPr>
        <xdr:cNvCxnSpPr/>
      </xdr:nvCxnSpPr>
      <xdr:spPr>
        <a:xfrm flipH="1">
          <a:off x="13514101750" y="12941300"/>
          <a:ext cx="1739900" cy="113665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6350</xdr:colOff>
      <xdr:row>65</xdr:row>
      <xdr:rowOff>101600</xdr:rowOff>
    </xdr:from>
    <xdr:to>
      <xdr:col>16</xdr:col>
      <xdr:colOff>406400</xdr:colOff>
      <xdr:row>68</xdr:row>
      <xdr:rowOff>190500</xdr:rowOff>
    </xdr:to>
    <xdr:cxnSp macro="">
      <xdr:nvCxnSpPr>
        <xdr:cNvPr id="93" name="Straight Connector 92">
          <a:extLst>
            <a:ext uri="{FF2B5EF4-FFF2-40B4-BE49-F238E27FC236}">
              <a16:creationId xmlns:a16="http://schemas.microsoft.com/office/drawing/2014/main" id="{A841C4AC-2AFB-6610-72D1-90F35ADA23E3}"/>
            </a:ext>
          </a:extLst>
        </xdr:cNvPr>
        <xdr:cNvCxnSpPr/>
      </xdr:nvCxnSpPr>
      <xdr:spPr>
        <a:xfrm>
          <a:off x="13511479200" y="13309600"/>
          <a:ext cx="1530350" cy="69850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152400</xdr:colOff>
      <xdr:row>711</xdr:row>
      <xdr:rowOff>152400</xdr:rowOff>
    </xdr:from>
    <xdr:to>
      <xdr:col>7</xdr:col>
      <xdr:colOff>545219</xdr:colOff>
      <xdr:row>728</xdr:row>
      <xdr:rowOff>91914</xdr:rowOff>
    </xdr:to>
    <xdr:pic>
      <xdr:nvPicPr>
        <xdr:cNvPr id="91" name="Picture 90">
          <a:extLst>
            <a:ext uri="{FF2B5EF4-FFF2-40B4-BE49-F238E27FC236}">
              <a16:creationId xmlns:a16="http://schemas.microsoft.com/office/drawing/2014/main" id="{6F38321C-8789-E34A-ACBF-137051436900}"/>
            </a:ext>
          </a:extLst>
        </xdr:cNvPr>
        <xdr:cNvPicPr>
          <a:picLocks noChangeAspect="1"/>
        </xdr:cNvPicPr>
      </xdr:nvPicPr>
      <xdr:blipFill>
        <a:blip xmlns:r="http://schemas.openxmlformats.org/officeDocument/2006/relationships" r:embed="rId13"/>
        <a:stretch>
          <a:fillRect/>
        </a:stretch>
      </xdr:blipFill>
      <xdr:spPr>
        <a:xfrm>
          <a:off x="13526280283" y="135582066"/>
          <a:ext cx="6275955" cy="3380594"/>
        </a:xfrm>
        <a:prstGeom prst="rect">
          <a:avLst/>
        </a:prstGeom>
      </xdr:spPr>
    </xdr:pic>
    <xdr:clientData/>
  </xdr:twoCellAnchor>
  <xdr:twoCellAnchor>
    <xdr:from>
      <xdr:col>8</xdr:col>
      <xdr:colOff>212530</xdr:colOff>
      <xdr:row>711</xdr:row>
      <xdr:rowOff>129591</xdr:rowOff>
    </xdr:from>
    <xdr:to>
      <xdr:col>11</xdr:col>
      <xdr:colOff>533918</xdr:colOff>
      <xdr:row>720</xdr:row>
      <xdr:rowOff>88122</xdr:rowOff>
    </xdr:to>
    <xdr:sp macro="" textlink="">
      <xdr:nvSpPr>
        <xdr:cNvPr id="94" name="Rounded Rectangular Callout 93">
          <a:extLst>
            <a:ext uri="{FF2B5EF4-FFF2-40B4-BE49-F238E27FC236}">
              <a16:creationId xmlns:a16="http://schemas.microsoft.com/office/drawing/2014/main" id="{5FADF4B1-9EA8-641E-F726-B578B72933CD}"/>
            </a:ext>
          </a:extLst>
        </xdr:cNvPr>
        <xdr:cNvSpPr/>
      </xdr:nvSpPr>
      <xdr:spPr>
        <a:xfrm>
          <a:off x="13493744817" y="135423469"/>
          <a:ext cx="2809551" cy="1778000"/>
        </a:xfrm>
        <a:prstGeom prst="wedgeRoundRectCallout">
          <a:avLst>
            <a:gd name="adj1" fmla="val 66067"/>
            <a:gd name="adj2" fmla="val 1077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גרט: חלק מעלות</a:t>
          </a:r>
          <a:r>
            <a:rPr lang="he-IL" sz="1100" baseline="0"/>
            <a:t> הפריט, שבגינו לא מחשבים פחת (הרכיב מתוך העלות שאין בגינו שחיקה / ירידת ערך; כמו שווי הברזל במכונית, או שווי הקרקע בנדל״ן וכיו״ב). </a:t>
          </a:r>
        </a:p>
        <a:p>
          <a:pPr algn="r" rtl="1"/>
          <a:r>
            <a:rPr lang="he-IL" sz="1100" baseline="0"/>
            <a:t>חשיבות ערך הגרט היא אך ורק לשם חישוב הוצאות הפחת, שהרי אם אין גרט - הוצאות הפחת הן היחס הפשוט בין העלות לתקופת ההפחתה, ואם יש גרט מחסירים מהעלות את הגרט, ורק התוצאה מחולקת באורך החיים</a:t>
          </a:r>
          <a:endParaRPr lang="en-US" sz="1100"/>
        </a:p>
      </xdr:txBody>
    </xdr:sp>
    <xdr:clientData/>
  </xdr:twoCellAnchor>
  <xdr:twoCellAnchor>
    <xdr:from>
      <xdr:col>6</xdr:col>
      <xdr:colOff>744097</xdr:colOff>
      <xdr:row>744</xdr:row>
      <xdr:rowOff>95110</xdr:rowOff>
    </xdr:from>
    <xdr:to>
      <xdr:col>7</xdr:col>
      <xdr:colOff>481146</xdr:colOff>
      <xdr:row>746</xdr:row>
      <xdr:rowOff>145462</xdr:rowOff>
    </xdr:to>
    <xdr:cxnSp macro="">
      <xdr:nvCxnSpPr>
        <xdr:cNvPr id="96" name="Straight Arrow Connector 95">
          <a:extLst>
            <a:ext uri="{FF2B5EF4-FFF2-40B4-BE49-F238E27FC236}">
              <a16:creationId xmlns:a16="http://schemas.microsoft.com/office/drawing/2014/main" id="{1D30D95F-A64A-B0A4-7942-F7D29B899AD6}"/>
            </a:ext>
          </a:extLst>
        </xdr:cNvPr>
        <xdr:cNvCxnSpPr/>
      </xdr:nvCxnSpPr>
      <xdr:spPr>
        <a:xfrm flipH="1">
          <a:off x="13559549427" y="141568634"/>
          <a:ext cx="565066" cy="4531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727312</xdr:colOff>
      <xdr:row>746</xdr:row>
      <xdr:rowOff>128678</xdr:rowOff>
    </xdr:from>
    <xdr:to>
      <xdr:col>7</xdr:col>
      <xdr:colOff>486740</xdr:colOff>
      <xdr:row>748</xdr:row>
      <xdr:rowOff>117488</xdr:rowOff>
    </xdr:to>
    <xdr:cxnSp macro="">
      <xdr:nvCxnSpPr>
        <xdr:cNvPr id="97" name="Straight Arrow Connector 96">
          <a:extLst>
            <a:ext uri="{FF2B5EF4-FFF2-40B4-BE49-F238E27FC236}">
              <a16:creationId xmlns:a16="http://schemas.microsoft.com/office/drawing/2014/main" id="{A8C096FC-9A83-CA46-7852-2F71166E502D}"/>
            </a:ext>
          </a:extLst>
        </xdr:cNvPr>
        <xdr:cNvCxnSpPr/>
      </xdr:nvCxnSpPr>
      <xdr:spPr>
        <a:xfrm flipH="1" flipV="1">
          <a:off x="13559543833" y="142005022"/>
          <a:ext cx="587445" cy="391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336</xdr:row>
      <xdr:rowOff>167736</xdr:rowOff>
    </xdr:from>
    <xdr:to>
      <xdr:col>7</xdr:col>
      <xdr:colOff>603157</xdr:colOff>
      <xdr:row>349</xdr:row>
      <xdr:rowOff>169779</xdr:rowOff>
    </xdr:to>
    <xdr:pic>
      <xdr:nvPicPr>
        <xdr:cNvPr id="99" name="Picture 98">
          <a:extLst>
            <a:ext uri="{FF2B5EF4-FFF2-40B4-BE49-F238E27FC236}">
              <a16:creationId xmlns:a16="http://schemas.microsoft.com/office/drawing/2014/main" id="{065CF393-CE68-F5FC-39F9-723DDBA0F2FC}"/>
            </a:ext>
          </a:extLst>
        </xdr:cNvPr>
        <xdr:cNvPicPr>
          <a:picLocks noChangeAspect="1"/>
        </xdr:cNvPicPr>
      </xdr:nvPicPr>
      <xdr:blipFill>
        <a:blip xmlns:r="http://schemas.openxmlformats.org/officeDocument/2006/relationships" r:embed="rId14"/>
        <a:stretch>
          <a:fillRect/>
        </a:stretch>
      </xdr:blipFill>
      <xdr:spPr>
        <a:xfrm>
          <a:off x="13496732065" y="68466763"/>
          <a:ext cx="6477375" cy="2631954"/>
        </a:xfrm>
        <a:prstGeom prst="rect">
          <a:avLst/>
        </a:prstGeom>
      </xdr:spPr>
    </xdr:pic>
    <xdr:clientData/>
  </xdr:twoCellAnchor>
  <xdr:twoCellAnchor editAs="oneCell">
    <xdr:from>
      <xdr:col>1</xdr:col>
      <xdr:colOff>766356</xdr:colOff>
      <xdr:row>346</xdr:row>
      <xdr:rowOff>131120</xdr:rowOff>
    </xdr:from>
    <xdr:to>
      <xdr:col>7</xdr:col>
      <xdr:colOff>560748</xdr:colOff>
      <xdr:row>349</xdr:row>
      <xdr:rowOff>187315</xdr:rowOff>
    </xdr:to>
    <xdr:pic>
      <xdr:nvPicPr>
        <xdr:cNvPr id="100" name="Picture 99">
          <a:extLst>
            <a:ext uri="{FF2B5EF4-FFF2-40B4-BE49-F238E27FC236}">
              <a16:creationId xmlns:a16="http://schemas.microsoft.com/office/drawing/2014/main" id="{2CA22B79-2550-62C0-D20B-AAC8B1DC3B27}"/>
            </a:ext>
          </a:extLst>
        </xdr:cNvPr>
        <xdr:cNvPicPr>
          <a:picLocks noChangeAspect="1"/>
        </xdr:cNvPicPr>
      </xdr:nvPicPr>
      <xdr:blipFill>
        <a:blip xmlns:r="http://schemas.openxmlformats.org/officeDocument/2006/relationships" r:embed="rId15"/>
        <a:stretch>
          <a:fillRect/>
        </a:stretch>
      </xdr:blipFill>
      <xdr:spPr>
        <a:xfrm>
          <a:off x="13496774474" y="70453155"/>
          <a:ext cx="4844421" cy="663098"/>
        </a:xfrm>
        <a:prstGeom prst="rect">
          <a:avLst/>
        </a:prstGeom>
      </xdr:spPr>
    </xdr:pic>
    <xdr:clientData/>
  </xdr:twoCellAnchor>
  <xdr:oneCellAnchor>
    <xdr:from>
      <xdr:col>4</xdr:col>
      <xdr:colOff>419587</xdr:colOff>
      <xdr:row>352</xdr:row>
      <xdr:rowOff>22327</xdr:rowOff>
    </xdr:from>
    <xdr:ext cx="1697060" cy="354008"/>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𝐼</m:t>
                        </m:r>
                      </m:den>
                    </m:f>
                  </m:oMath>
                </m:oMathPara>
              </a14:m>
              <a:endParaRPr lang="en-US" sz="1100"/>
            </a:p>
          </xdr:txBody>
        </xdr:sp>
      </mc:Choice>
      <mc:Fallback xmlns="">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831681</xdr:colOff>
      <xdr:row>354</xdr:row>
      <xdr:rowOff>108493</xdr:rowOff>
    </xdr:from>
    <xdr:ext cx="2982046" cy="355162"/>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500</m:t>
                        </m:r>
                      </m:den>
                    </m:f>
                    <m:r>
                      <a:rPr lang="en-US" sz="1100" b="0" i="1">
                        <a:latin typeface="Cambria Math" panose="02040503050406030204" pitchFamily="18" charset="0"/>
                      </a:rPr>
                      <m:t>→</m:t>
                    </m:r>
                    <m:r>
                      <m:rPr>
                        <m:sty m:val="p"/>
                      </m:rPr>
                      <a:rPr lang="en-US" sz="1100" b="0" i="0">
                        <a:latin typeface="Cambria Math" panose="02040503050406030204" pitchFamily="18" charset="0"/>
                      </a:rPr>
                      <m:t>PV</m:t>
                    </m:r>
                    <m:r>
                      <a:rPr lang="en-US" sz="1100" b="0" i="0">
                        <a:latin typeface="Cambria Math" panose="02040503050406030204" pitchFamily="18" charset="0"/>
                      </a:rPr>
                      <m:t>=1.8∗500→</m:t>
                    </m:r>
                    <m:r>
                      <m:rPr>
                        <m:sty m:val="p"/>
                      </m:rPr>
                      <a:rPr lang="en-US" sz="1100" b="0" i="0">
                        <a:latin typeface="Cambria Math" panose="02040503050406030204" pitchFamily="18" charset="0"/>
                      </a:rPr>
                      <m:t>PV</m:t>
                    </m:r>
                    <m:r>
                      <a:rPr lang="en-US" sz="1100" b="0" i="0">
                        <a:latin typeface="Cambria Math" panose="02040503050406030204" pitchFamily="18" charset="0"/>
                      </a:rPr>
                      <m:t>=900</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)/500→PV=1.8∗500→PV=900</a:t>
              </a:r>
              <a:endParaRPr lang="en-US" sz="1100"/>
            </a:p>
          </xdr:txBody>
        </xdr:sp>
      </mc:Fallback>
    </mc:AlternateContent>
    <xdr:clientData/>
  </xdr:oneCellAnchor>
  <xdr:twoCellAnchor editAs="oneCell">
    <xdr:from>
      <xdr:col>6</xdr:col>
      <xdr:colOff>331717</xdr:colOff>
      <xdr:row>653</xdr:row>
      <xdr:rowOff>3373</xdr:rowOff>
    </xdr:from>
    <xdr:to>
      <xdr:col>12</xdr:col>
      <xdr:colOff>299304</xdr:colOff>
      <xdr:row>666</xdr:row>
      <xdr:rowOff>21953</xdr:rowOff>
    </xdr:to>
    <xdr:pic>
      <xdr:nvPicPr>
        <xdr:cNvPr id="103" name="Picture 102">
          <a:extLst>
            <a:ext uri="{FF2B5EF4-FFF2-40B4-BE49-F238E27FC236}">
              <a16:creationId xmlns:a16="http://schemas.microsoft.com/office/drawing/2014/main" id="{040D0BC9-4840-76E4-E99E-C06E57CE5776}"/>
            </a:ext>
          </a:extLst>
        </xdr:cNvPr>
        <xdr:cNvPicPr>
          <a:picLocks noChangeAspect="1"/>
        </xdr:cNvPicPr>
      </xdr:nvPicPr>
      <xdr:blipFill>
        <a:blip xmlns:r="http://schemas.openxmlformats.org/officeDocument/2006/relationships" r:embed="rId16"/>
        <a:stretch>
          <a:fillRect/>
        </a:stretch>
      </xdr:blipFill>
      <xdr:spPr>
        <a:xfrm>
          <a:off x="13498852935" y="133490798"/>
          <a:ext cx="4929117" cy="2667573"/>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0DDA5-EB3C-4A40-A7EC-4D0E1FEA036D}">
  <dimension ref="A1:Q418"/>
  <sheetViews>
    <sheetView rightToLeft="1" topLeftCell="A348" zoomScale="300" zoomScaleNormal="300" workbookViewId="0">
      <selection activeCell="D357" sqref="D357"/>
    </sheetView>
  </sheetViews>
  <sheetFormatPr baseColWidth="10" defaultRowHeight="16" x14ac:dyDescent="0.2"/>
  <cols>
    <col min="1" max="1" width="11.1640625" style="1" bestFit="1" customWidth="1"/>
    <col min="2" max="3" width="10.83203125" style="1"/>
    <col min="4" max="4" width="11.1640625" style="1" bestFit="1" customWidth="1"/>
    <col min="5" max="5" width="11.6640625" style="1" bestFit="1" customWidth="1"/>
    <col min="6" max="6" width="11.33203125" style="1" customWidth="1"/>
    <col min="7" max="7" width="10.83203125" style="1"/>
    <col min="8" max="8" width="11.1640625" style="1" bestFit="1" customWidth="1"/>
    <col min="9" max="16384" width="10.83203125" style="1"/>
  </cols>
  <sheetData>
    <row r="1" spans="1:8" x14ac:dyDescent="0.2">
      <c r="A1" s="457" t="s">
        <v>2999</v>
      </c>
      <c r="B1" s="457"/>
      <c r="C1" s="457"/>
      <c r="D1" s="457"/>
      <c r="E1" s="457"/>
      <c r="F1" s="457"/>
      <c r="G1" s="457"/>
      <c r="H1" s="457"/>
    </row>
    <row r="2" spans="1:8" x14ac:dyDescent="0.2">
      <c r="H2" s="36">
        <v>45876</v>
      </c>
    </row>
    <row r="3" spans="1:8" x14ac:dyDescent="0.2">
      <c r="A3" s="2" t="s">
        <v>0</v>
      </c>
      <c r="B3" s="2"/>
      <c r="C3" s="2"/>
      <c r="D3" s="2"/>
      <c r="E3" s="2"/>
      <c r="F3" s="2"/>
      <c r="G3" s="2"/>
      <c r="H3" s="2"/>
    </row>
    <row r="4" spans="1:8" x14ac:dyDescent="0.2">
      <c r="A4" s="1" t="s">
        <v>1</v>
      </c>
    </row>
    <row r="5" spans="1:8" x14ac:dyDescent="0.2">
      <c r="A5" s="1" t="s">
        <v>2</v>
      </c>
    </row>
    <row r="6" spans="1:8" x14ac:dyDescent="0.2">
      <c r="A6" s="1" t="s">
        <v>3</v>
      </c>
    </row>
    <row r="7" spans="1:8" x14ac:dyDescent="0.2">
      <c r="A7" s="1" t="s">
        <v>1800</v>
      </c>
    </row>
    <row r="8" spans="1:8" x14ac:dyDescent="0.2">
      <c r="A8" s="1" t="s">
        <v>4</v>
      </c>
    </row>
    <row r="9" spans="1:8" x14ac:dyDescent="0.2">
      <c r="A9" s="1" t="s">
        <v>5</v>
      </c>
    </row>
    <row r="10" spans="1:8" x14ac:dyDescent="0.2">
      <c r="A10" s="1" t="s">
        <v>6</v>
      </c>
    </row>
    <row r="11" spans="1:8" x14ac:dyDescent="0.2">
      <c r="A11" s="1" t="s">
        <v>7</v>
      </c>
    </row>
    <row r="13" spans="1:8" x14ac:dyDescent="0.2">
      <c r="A13" s="2" t="s">
        <v>8</v>
      </c>
      <c r="B13" s="2"/>
      <c r="C13" s="2"/>
      <c r="D13" s="2"/>
      <c r="E13" s="2"/>
      <c r="F13" s="2"/>
      <c r="G13" s="2"/>
      <c r="H13" s="2"/>
    </row>
    <row r="15" spans="1:8" x14ac:dyDescent="0.2">
      <c r="A15" s="18" t="s">
        <v>50</v>
      </c>
      <c r="B15" s="18"/>
      <c r="C15" s="18"/>
      <c r="D15" s="18"/>
      <c r="E15" s="18"/>
      <c r="F15" s="18"/>
      <c r="G15" s="18"/>
      <c r="H15" s="18"/>
    </row>
    <row r="17" spans="1:8" x14ac:dyDescent="0.2">
      <c r="A17" s="1" t="s">
        <v>51</v>
      </c>
    </row>
    <row r="18" spans="1:8" x14ac:dyDescent="0.2">
      <c r="A18" s="1" t="s">
        <v>52</v>
      </c>
    </row>
    <row r="24" spans="1:8" ht="18" x14ac:dyDescent="0.2">
      <c r="A24" s="205" t="s">
        <v>1801</v>
      </c>
      <c r="B24" s="205"/>
      <c r="C24" s="205"/>
      <c r="D24" s="205"/>
      <c r="E24" s="205"/>
      <c r="F24" s="205"/>
      <c r="G24" s="205"/>
      <c r="H24" s="205"/>
    </row>
    <row r="25" spans="1:8" x14ac:dyDescent="0.2">
      <c r="A25" s="1" t="s">
        <v>9</v>
      </c>
    </row>
    <row r="26" spans="1:8" x14ac:dyDescent="0.2">
      <c r="A26" s="1" t="s">
        <v>10</v>
      </c>
    </row>
    <row r="27" spans="1:8" x14ac:dyDescent="0.2">
      <c r="A27" s="1" t="s">
        <v>11</v>
      </c>
    </row>
    <row r="28" spans="1:8" x14ac:dyDescent="0.2">
      <c r="A28" s="1" t="s">
        <v>12</v>
      </c>
    </row>
    <row r="29" spans="1:8" x14ac:dyDescent="0.2">
      <c r="A29" s="1" t="s">
        <v>13</v>
      </c>
    </row>
    <row r="31" spans="1:8" x14ac:dyDescent="0.2">
      <c r="A31" s="6" t="s">
        <v>44</v>
      </c>
      <c r="B31" s="5"/>
      <c r="C31" s="5"/>
      <c r="D31" s="5"/>
      <c r="E31" s="5"/>
      <c r="F31" s="5"/>
      <c r="G31" s="5"/>
      <c r="H31" s="5">
        <v>1.1000000000000001</v>
      </c>
    </row>
    <row r="32" spans="1:8" x14ac:dyDescent="0.2">
      <c r="A32" s="1" t="s">
        <v>14</v>
      </c>
    </row>
    <row r="34" spans="1:8" x14ac:dyDescent="0.2">
      <c r="A34" s="1" t="s">
        <v>15</v>
      </c>
      <c r="B34" s="1" t="s">
        <v>17</v>
      </c>
      <c r="C34" s="1" t="s">
        <v>16</v>
      </c>
    </row>
    <row r="35" spans="1:8" x14ac:dyDescent="0.2">
      <c r="A35" s="1">
        <v>123</v>
      </c>
      <c r="B35" s="3">
        <v>10000</v>
      </c>
      <c r="C35" s="4">
        <v>45412</v>
      </c>
    </row>
    <row r="36" spans="1:8" x14ac:dyDescent="0.2">
      <c r="A36" s="1">
        <v>298</v>
      </c>
      <c r="B36" s="3">
        <v>19000</v>
      </c>
      <c r="C36" s="4">
        <v>45565</v>
      </c>
    </row>
    <row r="37" spans="1:8" x14ac:dyDescent="0.2">
      <c r="A37" s="1">
        <v>174</v>
      </c>
      <c r="B37" s="3">
        <v>23000</v>
      </c>
      <c r="C37" s="4">
        <v>45595</v>
      </c>
    </row>
    <row r="38" spans="1:8" x14ac:dyDescent="0.2">
      <c r="A38" s="1">
        <v>210</v>
      </c>
      <c r="B38" s="3">
        <v>54000</v>
      </c>
      <c r="C38" s="4">
        <v>45626</v>
      </c>
    </row>
    <row r="39" spans="1:8" x14ac:dyDescent="0.2">
      <c r="A39" s="1">
        <v>735</v>
      </c>
      <c r="B39" s="3">
        <v>11000</v>
      </c>
      <c r="C39" s="4">
        <v>45657</v>
      </c>
    </row>
    <row r="41" spans="1:8" x14ac:dyDescent="0.2">
      <c r="A41" s="1" t="s">
        <v>18</v>
      </c>
    </row>
    <row r="42" spans="1:8" ht="17" thickBot="1" x14ac:dyDescent="0.25"/>
    <row r="43" spans="1:8" ht="17" thickBot="1" x14ac:dyDescent="0.25">
      <c r="A43" s="7" t="s">
        <v>23</v>
      </c>
      <c r="B43" s="8"/>
      <c r="C43" s="8"/>
      <c r="D43" s="8"/>
      <c r="E43" s="8"/>
      <c r="F43" s="8"/>
      <c r="G43" s="8"/>
      <c r="H43" s="9"/>
    </row>
    <row r="45" spans="1:8" x14ac:dyDescent="0.2">
      <c r="A45" s="1" t="s">
        <v>53</v>
      </c>
    </row>
    <row r="46" spans="1:8" x14ac:dyDescent="0.2">
      <c r="A46" s="1" t="s">
        <v>54</v>
      </c>
    </row>
    <row r="47" spans="1:8" x14ac:dyDescent="0.2">
      <c r="A47" s="1" t="s">
        <v>55</v>
      </c>
      <c r="F47" s="1" t="s">
        <v>56</v>
      </c>
      <c r="H47" s="406" t="s">
        <v>3000</v>
      </c>
    </row>
    <row r="48" spans="1:8" x14ac:dyDescent="0.2">
      <c r="H48" s="406" t="s">
        <v>3001</v>
      </c>
    </row>
    <row r="49" spans="1:11" x14ac:dyDescent="0.2">
      <c r="A49" s="10" t="s">
        <v>15</v>
      </c>
      <c r="B49" s="10" t="s">
        <v>17</v>
      </c>
      <c r="C49" s="10" t="s">
        <v>16</v>
      </c>
      <c r="D49" s="10" t="s">
        <v>19</v>
      </c>
      <c r="E49" s="10" t="s">
        <v>20</v>
      </c>
      <c r="F49" s="10"/>
      <c r="G49" s="10"/>
      <c r="H49" s="10"/>
    </row>
    <row r="50" spans="1:11" x14ac:dyDescent="0.2">
      <c r="A50" s="1">
        <v>123</v>
      </c>
      <c r="B50" s="3">
        <v>10000</v>
      </c>
      <c r="C50" s="4">
        <v>45412</v>
      </c>
      <c r="D50" s="3">
        <f>B50/(1+1%)^1</f>
        <v>9900.9900990099013</v>
      </c>
      <c r="E50" s="3"/>
      <c r="F50" s="3"/>
      <c r="H50" s="1" t="s">
        <v>57</v>
      </c>
    </row>
    <row r="51" spans="1:11" x14ac:dyDescent="0.2">
      <c r="A51" s="1">
        <v>298</v>
      </c>
      <c r="B51" s="3">
        <v>19000</v>
      </c>
      <c r="C51" s="4">
        <v>45565</v>
      </c>
      <c r="D51" s="3">
        <f>B51/(1+1%)^6</f>
        <v>17898.859469829924</v>
      </c>
      <c r="E51" s="3"/>
      <c r="F51" s="3"/>
      <c r="H51" s="1" t="s">
        <v>58</v>
      </c>
    </row>
    <row r="52" spans="1:11" x14ac:dyDescent="0.2">
      <c r="A52" s="1">
        <v>174</v>
      </c>
      <c r="B52" s="3">
        <v>23000</v>
      </c>
      <c r="C52" s="4">
        <v>45595</v>
      </c>
      <c r="D52" s="3">
        <f>B52/(1+1%)^7</f>
        <v>21452.515258264117</v>
      </c>
      <c r="E52" s="3"/>
      <c r="F52" s="3"/>
    </row>
    <row r="53" spans="1:11" x14ac:dyDescent="0.2">
      <c r="A53" s="1">
        <v>210</v>
      </c>
      <c r="B53" s="3">
        <v>54000</v>
      </c>
      <c r="C53" s="4">
        <v>45626</v>
      </c>
      <c r="D53" s="3">
        <f>B53/(1+1%)^8</f>
        <v>49868.094014044858</v>
      </c>
      <c r="E53" s="3"/>
      <c r="F53" s="3"/>
    </row>
    <row r="54" spans="1:11" x14ac:dyDescent="0.2">
      <c r="A54" s="1">
        <v>735</v>
      </c>
      <c r="B54" s="3">
        <v>11000</v>
      </c>
      <c r="C54" s="4">
        <v>45657</v>
      </c>
      <c r="D54" s="3">
        <f>B54/(1+1%)^9</f>
        <v>10057.738066639042</v>
      </c>
      <c r="E54" s="3"/>
      <c r="F54" s="3"/>
    </row>
    <row r="55" spans="1:11" x14ac:dyDescent="0.2">
      <c r="C55" s="1" t="s">
        <v>21</v>
      </c>
      <c r="D55" s="19">
        <f>SUM(D50:D54)</f>
        <v>109178.19690778783</v>
      </c>
    </row>
    <row r="57" spans="1:11" x14ac:dyDescent="0.2">
      <c r="A57" s="1" t="s">
        <v>22</v>
      </c>
    </row>
    <row r="59" spans="1:11" x14ac:dyDescent="0.2">
      <c r="A59" s="1" t="s">
        <v>59</v>
      </c>
      <c r="G59" s="1" t="s">
        <v>82</v>
      </c>
    </row>
    <row r="60" spans="1:11" x14ac:dyDescent="0.2">
      <c r="A60" s="407" t="s">
        <v>3002</v>
      </c>
      <c r="B60" s="10"/>
      <c r="C60" s="10"/>
      <c r="D60" s="10"/>
      <c r="G60" s="1" t="s">
        <v>83</v>
      </c>
    </row>
    <row r="62" spans="1:11" x14ac:dyDescent="0.2">
      <c r="A62" s="408" t="s">
        <v>3003</v>
      </c>
      <c r="B62" s="18"/>
      <c r="C62" s="18"/>
      <c r="D62" s="21" t="s">
        <v>60</v>
      </c>
      <c r="G62" s="26" t="s">
        <v>76</v>
      </c>
      <c r="I62" s="21" t="s">
        <v>84</v>
      </c>
    </row>
    <row r="63" spans="1:11" x14ac:dyDescent="0.2">
      <c r="A63" s="116" t="s">
        <v>67</v>
      </c>
      <c r="B63" s="116"/>
      <c r="C63" s="48" t="s">
        <v>75</v>
      </c>
      <c r="D63" s="116" t="s">
        <v>61</v>
      </c>
      <c r="E63" s="115"/>
      <c r="F63" s="115"/>
      <c r="G63" s="116" t="s">
        <v>85</v>
      </c>
      <c r="H63" s="48">
        <f>C65</f>
        <v>1</v>
      </c>
      <c r="I63" s="48" t="s">
        <v>63</v>
      </c>
      <c r="J63" s="116"/>
      <c r="K63" s="116"/>
    </row>
    <row r="64" spans="1:11" x14ac:dyDescent="0.2">
      <c r="A64" s="116" t="s">
        <v>68</v>
      </c>
      <c r="B64" s="116"/>
      <c r="C64" s="48">
        <v>1</v>
      </c>
      <c r="D64" s="116" t="s">
        <v>62</v>
      </c>
      <c r="E64" s="115"/>
      <c r="F64" s="409" t="s">
        <v>739</v>
      </c>
      <c r="G64" s="209" t="s">
        <v>87</v>
      </c>
      <c r="H64" s="116"/>
      <c r="I64" s="411" t="s">
        <v>3004</v>
      </c>
      <c r="J64" s="412" t="s">
        <v>86</v>
      </c>
      <c r="K64" s="116"/>
    </row>
    <row r="65" spans="1:11" x14ac:dyDescent="0.2">
      <c r="A65" s="116" t="s">
        <v>69</v>
      </c>
      <c r="B65" s="116"/>
      <c r="C65" s="409">
        <v>1</v>
      </c>
      <c r="D65" s="116" t="s">
        <v>63</v>
      </c>
      <c r="E65" s="115"/>
      <c r="F65" s="409">
        <v>0</v>
      </c>
      <c r="G65" s="206">
        <v>0</v>
      </c>
      <c r="H65" s="209">
        <v>1</v>
      </c>
      <c r="I65" s="116"/>
      <c r="J65" s="48"/>
      <c r="K65" s="116"/>
    </row>
    <row r="66" spans="1:11" x14ac:dyDescent="0.2">
      <c r="A66" s="116" t="s">
        <v>70</v>
      </c>
      <c r="B66" s="116"/>
      <c r="C66" s="410">
        <f>PV(C65/100,C64,C68)</f>
        <v>-9900.9900990099104</v>
      </c>
      <c r="D66" s="116" t="s">
        <v>64</v>
      </c>
      <c r="E66" s="22" t="s">
        <v>77</v>
      </c>
      <c r="F66" s="409">
        <f>F65+1</f>
        <v>1</v>
      </c>
      <c r="G66" s="206">
        <v>10000</v>
      </c>
      <c r="H66" s="209">
        <v>2</v>
      </c>
      <c r="I66" s="409" t="s">
        <v>88</v>
      </c>
      <c r="J66" s="409" t="s">
        <v>89</v>
      </c>
      <c r="K66" s="411" t="s">
        <v>3005</v>
      </c>
    </row>
    <row r="67" spans="1:11" x14ac:dyDescent="0.2">
      <c r="A67" s="182" t="s">
        <v>71</v>
      </c>
      <c r="B67" s="116"/>
      <c r="C67" s="48">
        <v>0</v>
      </c>
      <c r="D67" s="116" t="s">
        <v>65</v>
      </c>
      <c r="E67" s="115"/>
      <c r="F67" s="409">
        <f t="shared" ref="F67:F70" si="0">F66+1</f>
        <v>2</v>
      </c>
      <c r="G67" s="207"/>
      <c r="H67" s="209">
        <v>3</v>
      </c>
      <c r="I67" s="116"/>
      <c r="J67" s="48"/>
      <c r="K67" s="116"/>
    </row>
    <row r="68" spans="1:11" s="116" customFormat="1" x14ac:dyDescent="0.2">
      <c r="A68" s="116" t="s">
        <v>72</v>
      </c>
      <c r="C68" s="119">
        <v>10000</v>
      </c>
      <c r="D68" s="116" t="s">
        <v>66</v>
      </c>
      <c r="F68" s="409">
        <f t="shared" si="0"/>
        <v>3</v>
      </c>
      <c r="G68" s="208"/>
      <c r="H68" s="209">
        <v>4</v>
      </c>
      <c r="J68" s="48"/>
    </row>
    <row r="69" spans="1:11" s="116" customFormat="1" x14ac:dyDescent="0.2">
      <c r="F69" s="409">
        <f t="shared" si="0"/>
        <v>4</v>
      </c>
      <c r="G69" s="208"/>
      <c r="H69" s="209">
        <v>5</v>
      </c>
      <c r="I69" s="23">
        <f>-C66</f>
        <v>9900.9900990099104</v>
      </c>
      <c r="J69" s="409" t="s">
        <v>1039</v>
      </c>
      <c r="K69" s="413" t="s">
        <v>77</v>
      </c>
    </row>
    <row r="70" spans="1:11" s="116" customFormat="1" x14ac:dyDescent="0.2">
      <c r="A70" s="116" t="s">
        <v>73</v>
      </c>
      <c r="F70" s="409">
        <f t="shared" si="0"/>
        <v>5</v>
      </c>
      <c r="G70" s="208"/>
      <c r="H70" s="209">
        <v>6</v>
      </c>
    </row>
    <row r="71" spans="1:11" s="116" customFormat="1" x14ac:dyDescent="0.2">
      <c r="D71" s="116" t="s">
        <v>74</v>
      </c>
    </row>
    <row r="72" spans="1:11" s="116" customFormat="1" x14ac:dyDescent="0.2">
      <c r="G72" s="116" t="s">
        <v>91</v>
      </c>
    </row>
    <row r="73" spans="1:11" s="116" customFormat="1" x14ac:dyDescent="0.2">
      <c r="A73" s="116" t="s">
        <v>78</v>
      </c>
      <c r="G73" s="116" t="s">
        <v>92</v>
      </c>
    </row>
    <row r="74" spans="1:11" s="116" customFormat="1" x14ac:dyDescent="0.2">
      <c r="A74" s="116" t="s">
        <v>79</v>
      </c>
    </row>
    <row r="75" spans="1:11" s="116" customFormat="1" x14ac:dyDescent="0.2">
      <c r="A75" s="116" t="s">
        <v>80</v>
      </c>
    </row>
    <row r="76" spans="1:11" s="116" customFormat="1" x14ac:dyDescent="0.2">
      <c r="A76" s="116" t="s">
        <v>81</v>
      </c>
    </row>
    <row r="78" spans="1:11" x14ac:dyDescent="0.2">
      <c r="A78" s="1" t="s">
        <v>1802</v>
      </c>
      <c r="B78" s="1" t="s">
        <v>1803</v>
      </c>
    </row>
    <row r="79" spans="1:11" x14ac:dyDescent="0.2">
      <c r="B79" s="1" t="s">
        <v>1804</v>
      </c>
    </row>
    <row r="80" spans="1:11" x14ac:dyDescent="0.2">
      <c r="B80" s="1" t="s">
        <v>1805</v>
      </c>
    </row>
    <row r="81" spans="1:8" x14ac:dyDescent="0.2">
      <c r="B81" s="1" t="s">
        <v>1806</v>
      </c>
    </row>
    <row r="83" spans="1:8" ht="18" x14ac:dyDescent="0.2">
      <c r="A83" s="210" t="s">
        <v>1807</v>
      </c>
    </row>
    <row r="84" spans="1:8" x14ac:dyDescent="0.2">
      <c r="A84" s="1" t="s">
        <v>1808</v>
      </c>
    </row>
    <row r="86" spans="1:8" x14ac:dyDescent="0.2">
      <c r="G86" s="21" t="s">
        <v>84</v>
      </c>
    </row>
    <row r="87" spans="1:8" x14ac:dyDescent="0.2">
      <c r="F87" s="20">
        <v>1</v>
      </c>
      <c r="G87" s="20" t="s">
        <v>63</v>
      </c>
      <c r="H87" s="1" t="s">
        <v>1809</v>
      </c>
    </row>
    <row r="88" spans="1:8" x14ac:dyDescent="0.2">
      <c r="D88" s="20" t="s">
        <v>87</v>
      </c>
      <c r="G88" s="1" t="s">
        <v>1810</v>
      </c>
    </row>
    <row r="89" spans="1:8" x14ac:dyDescent="0.2">
      <c r="A89" s="4">
        <v>45383</v>
      </c>
      <c r="B89" s="1" t="s">
        <v>1811</v>
      </c>
      <c r="D89" s="211">
        <v>0</v>
      </c>
      <c r="E89" s="20">
        <v>1</v>
      </c>
      <c r="F89" s="4"/>
    </row>
    <row r="90" spans="1:8" x14ac:dyDescent="0.2">
      <c r="A90" s="4">
        <v>45412</v>
      </c>
      <c r="B90" s="1" t="s">
        <v>1092</v>
      </c>
      <c r="D90" s="211">
        <v>10000</v>
      </c>
      <c r="E90" s="20">
        <v>2</v>
      </c>
      <c r="F90" s="4"/>
    </row>
    <row r="91" spans="1:8" x14ac:dyDescent="0.2">
      <c r="A91" s="4">
        <v>45442</v>
      </c>
      <c r="D91" s="211">
        <v>0</v>
      </c>
      <c r="E91" s="20">
        <v>3</v>
      </c>
    </row>
    <row r="92" spans="1:8" x14ac:dyDescent="0.2">
      <c r="A92" s="4">
        <v>45473</v>
      </c>
      <c r="D92" s="211">
        <v>0</v>
      </c>
      <c r="E92" s="20">
        <f t="shared" ref="E92:E97" si="1">E91+1</f>
        <v>4</v>
      </c>
    </row>
    <row r="93" spans="1:8" x14ac:dyDescent="0.2">
      <c r="A93" s="4">
        <v>45503</v>
      </c>
      <c r="D93" s="211">
        <v>0</v>
      </c>
      <c r="E93" s="20">
        <f t="shared" si="1"/>
        <v>5</v>
      </c>
    </row>
    <row r="94" spans="1:8" x14ac:dyDescent="0.2">
      <c r="A94" s="4">
        <v>45534</v>
      </c>
      <c r="D94" s="211">
        <v>0</v>
      </c>
      <c r="E94" s="20">
        <f t="shared" si="1"/>
        <v>6</v>
      </c>
    </row>
    <row r="95" spans="1:8" x14ac:dyDescent="0.2">
      <c r="A95" s="4">
        <v>45565</v>
      </c>
      <c r="D95" s="211">
        <v>19000</v>
      </c>
      <c r="E95" s="20">
        <f t="shared" si="1"/>
        <v>7</v>
      </c>
    </row>
    <row r="96" spans="1:8" x14ac:dyDescent="0.2">
      <c r="A96" s="4">
        <v>45595</v>
      </c>
      <c r="D96" s="211">
        <v>23000</v>
      </c>
      <c r="E96" s="20">
        <f t="shared" si="1"/>
        <v>8</v>
      </c>
    </row>
    <row r="97" spans="1:10" x14ac:dyDescent="0.2">
      <c r="A97" s="4">
        <v>45626</v>
      </c>
      <c r="D97" s="211">
        <v>54000</v>
      </c>
      <c r="E97" s="20">
        <f t="shared" si="1"/>
        <v>9</v>
      </c>
    </row>
    <row r="98" spans="1:10" x14ac:dyDescent="0.2">
      <c r="A98" s="4">
        <v>45657</v>
      </c>
      <c r="D98" s="211">
        <v>11000</v>
      </c>
      <c r="E98" s="20">
        <v>10</v>
      </c>
      <c r="F98" s="461" t="s">
        <v>980</v>
      </c>
      <c r="G98" s="461"/>
    </row>
    <row r="99" spans="1:10" x14ac:dyDescent="0.2">
      <c r="D99" s="211"/>
      <c r="E99" s="20"/>
    </row>
    <row r="100" spans="1:10" x14ac:dyDescent="0.2">
      <c r="D100" s="211"/>
      <c r="E100" s="40" t="s">
        <v>1812</v>
      </c>
      <c r="F100" s="5"/>
      <c r="G100" s="5"/>
      <c r="H100" s="34">
        <f>NPV(F87/100,D90:D98)</f>
        <v>109178.19690778786</v>
      </c>
      <c r="I100" s="5" t="s">
        <v>90</v>
      </c>
      <c r="J100" s="212" t="s">
        <v>227</v>
      </c>
    </row>
    <row r="101" spans="1:10" x14ac:dyDescent="0.2">
      <c r="D101" s="211"/>
      <c r="E101" s="20"/>
    </row>
    <row r="103" spans="1:10" ht="17" thickBot="1" x14ac:dyDescent="0.25"/>
    <row r="104" spans="1:10" ht="17" thickBot="1" x14ac:dyDescent="0.25">
      <c r="A104" s="7" t="s">
        <v>24</v>
      </c>
      <c r="B104" s="8"/>
      <c r="C104" s="8"/>
      <c r="D104" s="8"/>
      <c r="E104" s="8"/>
      <c r="F104" s="8"/>
      <c r="G104" s="8"/>
      <c r="H104" s="9"/>
    </row>
    <row r="106" spans="1:10" x14ac:dyDescent="0.2">
      <c r="A106" s="1" t="s">
        <v>93</v>
      </c>
    </row>
    <row r="107" spans="1:10" x14ac:dyDescent="0.2">
      <c r="A107" s="1" t="s">
        <v>94</v>
      </c>
      <c r="D107" s="3">
        <f>D55</f>
        <v>109178.19690778783</v>
      </c>
      <c r="E107" s="406" t="s">
        <v>3006</v>
      </c>
    </row>
    <row r="109" spans="1:10" x14ac:dyDescent="0.2">
      <c r="A109" s="1" t="s">
        <v>95</v>
      </c>
    </row>
    <row r="110" spans="1:10" x14ac:dyDescent="0.2">
      <c r="A110" s="1" t="s">
        <v>96</v>
      </c>
    </row>
    <row r="112" spans="1:10" x14ac:dyDescent="0.2">
      <c r="A112" s="1" t="s">
        <v>97</v>
      </c>
    </row>
    <row r="113" spans="1:8" x14ac:dyDescent="0.2">
      <c r="A113" s="1" t="s">
        <v>99</v>
      </c>
      <c r="D113" s="3">
        <f>109178*1.01^7</f>
        <v>117053.59347233913</v>
      </c>
      <c r="F113" s="406" t="s">
        <v>98</v>
      </c>
    </row>
    <row r="115" spans="1:8" x14ac:dyDescent="0.2">
      <c r="A115" s="1" t="s">
        <v>100</v>
      </c>
    </row>
    <row r="116" spans="1:8" x14ac:dyDescent="0.2">
      <c r="A116" s="1" t="s">
        <v>101</v>
      </c>
    </row>
    <row r="118" spans="1:8" x14ac:dyDescent="0.2">
      <c r="A118" s="18"/>
      <c r="B118" s="18"/>
      <c r="C118" s="18"/>
      <c r="D118" s="21" t="s">
        <v>60</v>
      </c>
      <c r="G118" s="1" t="s">
        <v>102</v>
      </c>
    </row>
    <row r="119" spans="1:8" x14ac:dyDescent="0.2">
      <c r="A119" s="1" t="s">
        <v>67</v>
      </c>
      <c r="C119" s="20" t="s">
        <v>75</v>
      </c>
      <c r="D119" s="1" t="s">
        <v>61</v>
      </c>
      <c r="G119" s="1" t="s">
        <v>103</v>
      </c>
    </row>
    <row r="120" spans="1:8" x14ac:dyDescent="0.2">
      <c r="A120" s="1" t="s">
        <v>68</v>
      </c>
      <c r="C120" s="20">
        <v>7</v>
      </c>
      <c r="D120" s="1" t="s">
        <v>62</v>
      </c>
      <c r="G120" s="1" t="s">
        <v>104</v>
      </c>
    </row>
    <row r="121" spans="1:8" x14ac:dyDescent="0.2">
      <c r="A121" s="1" t="s">
        <v>69</v>
      </c>
      <c r="C121" s="20">
        <v>1</v>
      </c>
      <c r="D121" s="1" t="s">
        <v>63</v>
      </c>
    </row>
    <row r="122" spans="1:8" x14ac:dyDescent="0.2">
      <c r="A122" s="1" t="s">
        <v>70</v>
      </c>
      <c r="C122" s="23">
        <f>-D107</f>
        <v>-109178.19690778783</v>
      </c>
      <c r="D122" s="1" t="s">
        <v>64</v>
      </c>
    </row>
    <row r="123" spans="1:8" x14ac:dyDescent="0.2">
      <c r="A123" s="1" t="s">
        <v>71</v>
      </c>
      <c r="C123" s="20">
        <v>0</v>
      </c>
      <c r="D123" s="1" t="s">
        <v>65</v>
      </c>
    </row>
    <row r="124" spans="1:8" x14ac:dyDescent="0.2">
      <c r="A124" s="1" t="s">
        <v>72</v>
      </c>
      <c r="C124" s="24">
        <f>FV(C121/100,C120,C123,C122)</f>
        <v>117053.80458413957</v>
      </c>
      <c r="D124" s="1" t="s">
        <v>66</v>
      </c>
      <c r="E124" s="22" t="s">
        <v>77</v>
      </c>
    </row>
    <row r="126" spans="1:8" ht="17" thickBot="1" x14ac:dyDescent="0.25"/>
    <row r="127" spans="1:8" x14ac:dyDescent="0.2">
      <c r="A127" s="12" t="s">
        <v>1813</v>
      </c>
      <c r="B127" s="13"/>
      <c r="C127" s="13"/>
      <c r="D127" s="13"/>
      <c r="E127" s="13"/>
      <c r="F127" s="13"/>
      <c r="G127" s="13"/>
      <c r="H127" s="14"/>
    </row>
    <row r="128" spans="1:8" x14ac:dyDescent="0.2">
      <c r="A128" s="213" t="s">
        <v>1814</v>
      </c>
      <c r="H128" s="73"/>
    </row>
    <row r="129" spans="1:8" ht="17" thickBot="1" x14ac:dyDescent="0.25">
      <c r="A129" s="133" t="s">
        <v>1815</v>
      </c>
      <c r="B129" s="16"/>
      <c r="C129" s="16"/>
      <c r="D129" s="16"/>
      <c r="E129" s="16"/>
      <c r="F129" s="16"/>
      <c r="G129" s="16"/>
      <c r="H129" s="17"/>
    </row>
    <row r="131" spans="1:8" x14ac:dyDescent="0.2">
      <c r="A131" s="6" t="s">
        <v>32</v>
      </c>
      <c r="B131" s="5"/>
      <c r="C131" s="5"/>
      <c r="D131" s="5"/>
      <c r="E131" s="5"/>
      <c r="F131" s="5"/>
      <c r="G131" s="5"/>
      <c r="H131" s="5">
        <v>1.2</v>
      </c>
    </row>
    <row r="133" spans="1:8" x14ac:dyDescent="0.2">
      <c r="A133" s="1" t="s">
        <v>25</v>
      </c>
    </row>
    <row r="135" spans="1:8" x14ac:dyDescent="0.2">
      <c r="B135" s="11" t="s">
        <v>29</v>
      </c>
      <c r="C135" s="11" t="s">
        <v>26</v>
      </c>
      <c r="D135" s="11" t="s">
        <v>27</v>
      </c>
      <c r="E135" s="11" t="s">
        <v>28</v>
      </c>
    </row>
    <row r="136" spans="1:8" x14ac:dyDescent="0.2">
      <c r="B136" s="11">
        <v>1</v>
      </c>
      <c r="C136" s="11">
        <v>4000</v>
      </c>
      <c r="D136" s="11"/>
      <c r="E136" s="11"/>
    </row>
    <row r="137" spans="1:8" x14ac:dyDescent="0.2">
      <c r="B137" s="11">
        <v>2</v>
      </c>
      <c r="C137" s="11">
        <v>4000</v>
      </c>
      <c r="D137" s="11">
        <v>9000</v>
      </c>
      <c r="E137" s="11"/>
    </row>
    <row r="138" spans="1:8" x14ac:dyDescent="0.2">
      <c r="B138" s="11">
        <v>3</v>
      </c>
      <c r="C138" s="11">
        <v>4000</v>
      </c>
      <c r="D138" s="11">
        <v>9000</v>
      </c>
      <c r="E138" s="11"/>
    </row>
    <row r="139" spans="1:8" x14ac:dyDescent="0.2">
      <c r="B139" s="11">
        <v>4</v>
      </c>
      <c r="C139" s="11">
        <v>4000</v>
      </c>
      <c r="D139" s="11">
        <v>9000</v>
      </c>
      <c r="E139" s="11"/>
    </row>
    <row r="140" spans="1:8" x14ac:dyDescent="0.2">
      <c r="B140" s="11">
        <v>5</v>
      </c>
      <c r="C140" s="11">
        <v>4000</v>
      </c>
      <c r="D140" s="11">
        <v>9000</v>
      </c>
      <c r="E140" s="11"/>
    </row>
    <row r="141" spans="1:8" x14ac:dyDescent="0.2">
      <c r="B141" s="11">
        <v>6</v>
      </c>
      <c r="C141" s="11">
        <v>4000</v>
      </c>
      <c r="D141" s="11"/>
      <c r="E141" s="11"/>
    </row>
    <row r="142" spans="1:8" x14ac:dyDescent="0.2">
      <c r="B142" s="11">
        <v>7</v>
      </c>
      <c r="C142" s="11">
        <v>4000</v>
      </c>
      <c r="D142" s="11"/>
      <c r="E142" s="11"/>
    </row>
    <row r="143" spans="1:8" x14ac:dyDescent="0.2">
      <c r="B143" s="11">
        <v>8</v>
      </c>
      <c r="C143" s="11"/>
      <c r="D143" s="11"/>
      <c r="E143" s="11">
        <v>40000</v>
      </c>
    </row>
    <row r="144" spans="1:8" x14ac:dyDescent="0.2">
      <c r="B144" s="11">
        <v>9</v>
      </c>
      <c r="C144" s="11"/>
      <c r="D144" s="11"/>
      <c r="E144" s="11">
        <v>40000</v>
      </c>
    </row>
    <row r="145" spans="1:8" x14ac:dyDescent="0.2">
      <c r="B145" s="11">
        <v>10</v>
      </c>
      <c r="C145" s="11"/>
      <c r="D145" s="11"/>
      <c r="E145" s="11">
        <v>40000</v>
      </c>
    </row>
    <row r="146" spans="1:8" ht="17" thickBot="1" x14ac:dyDescent="0.25"/>
    <row r="147" spans="1:8" x14ac:dyDescent="0.2">
      <c r="A147" s="12" t="s">
        <v>30</v>
      </c>
      <c r="B147" s="13"/>
      <c r="C147" s="13"/>
      <c r="D147" s="13"/>
      <c r="E147" s="13"/>
      <c r="F147" s="13"/>
      <c r="G147" s="13"/>
      <c r="H147" s="14"/>
    </row>
    <row r="148" spans="1:8" ht="17" thickBot="1" x14ac:dyDescent="0.25">
      <c r="A148" s="15" t="s">
        <v>31</v>
      </c>
      <c r="B148" s="16"/>
      <c r="C148" s="16"/>
      <c r="D148" s="16"/>
      <c r="E148" s="16"/>
      <c r="F148" s="16"/>
      <c r="G148" s="16"/>
      <c r="H148" s="17"/>
    </row>
    <row r="150" spans="1:8" x14ac:dyDescent="0.2">
      <c r="A150" s="86" t="s">
        <v>1819</v>
      </c>
    </row>
    <row r="151" spans="1:8" x14ac:dyDescent="0.2">
      <c r="A151" s="1" t="s">
        <v>105</v>
      </c>
    </row>
    <row r="153" spans="1:8" x14ac:dyDescent="0.2">
      <c r="F153" s="21" t="s">
        <v>84</v>
      </c>
    </row>
    <row r="154" spans="1:8" x14ac:dyDescent="0.2">
      <c r="A154" s="48" t="s">
        <v>109</v>
      </c>
      <c r="B154" s="48" t="s">
        <v>108</v>
      </c>
      <c r="C154" s="20" t="s">
        <v>107</v>
      </c>
      <c r="E154" s="20">
        <v>4</v>
      </c>
      <c r="F154" s="1" t="s">
        <v>63</v>
      </c>
      <c r="G154" s="1" t="s">
        <v>1816</v>
      </c>
    </row>
    <row r="155" spans="1:8" x14ac:dyDescent="0.2">
      <c r="A155" s="117" t="s">
        <v>87</v>
      </c>
      <c r="B155" s="117" t="s">
        <v>87</v>
      </c>
      <c r="C155" s="27" t="s">
        <v>87</v>
      </c>
      <c r="D155" s="10"/>
      <c r="F155" s="1" t="s">
        <v>106</v>
      </c>
    </row>
    <row r="156" spans="1:8" x14ac:dyDescent="0.2">
      <c r="A156" s="48">
        <v>0</v>
      </c>
      <c r="B156" s="48">
        <v>0</v>
      </c>
      <c r="C156" s="20">
        <v>0</v>
      </c>
      <c r="D156" s="20">
        <v>1</v>
      </c>
      <c r="E156" s="1" t="s">
        <v>1817</v>
      </c>
    </row>
    <row r="157" spans="1:8" x14ac:dyDescent="0.2">
      <c r="A157" s="48">
        <v>0</v>
      </c>
      <c r="B157" s="48">
        <v>0</v>
      </c>
      <c r="C157" s="20">
        <v>4000</v>
      </c>
      <c r="D157" s="20">
        <v>2</v>
      </c>
      <c r="E157" s="1" t="s">
        <v>1818</v>
      </c>
    </row>
    <row r="158" spans="1:8" x14ac:dyDescent="0.2">
      <c r="A158" s="48">
        <v>0</v>
      </c>
      <c r="B158" s="48">
        <v>9000</v>
      </c>
      <c r="C158" s="20">
        <v>4000</v>
      </c>
      <c r="D158" s="20">
        <v>3</v>
      </c>
    </row>
    <row r="159" spans="1:8" x14ac:dyDescent="0.2">
      <c r="A159" s="48">
        <v>0</v>
      </c>
      <c r="B159" s="48">
        <v>9000</v>
      </c>
      <c r="C159" s="20">
        <v>4000</v>
      </c>
      <c r="D159" s="20">
        <v>4</v>
      </c>
    </row>
    <row r="160" spans="1:8" x14ac:dyDescent="0.2">
      <c r="A160" s="48">
        <v>0</v>
      </c>
      <c r="B160" s="48">
        <v>9000</v>
      </c>
      <c r="C160" s="20">
        <v>4000</v>
      </c>
      <c r="D160" s="20">
        <v>5</v>
      </c>
    </row>
    <row r="161" spans="1:7" x14ac:dyDescent="0.2">
      <c r="A161" s="48">
        <v>0</v>
      </c>
      <c r="B161" s="48">
        <v>9000</v>
      </c>
      <c r="C161" s="20">
        <v>4000</v>
      </c>
      <c r="D161" s="20">
        <v>6</v>
      </c>
    </row>
    <row r="162" spans="1:7" x14ac:dyDescent="0.2">
      <c r="A162" s="48">
        <v>0</v>
      </c>
      <c r="B162" s="48"/>
      <c r="C162" s="20">
        <v>4000</v>
      </c>
      <c r="D162" s="20">
        <v>7</v>
      </c>
    </row>
    <row r="163" spans="1:7" x14ac:dyDescent="0.2">
      <c r="A163" s="48">
        <v>0</v>
      </c>
      <c r="B163" s="48"/>
      <c r="C163" s="20">
        <v>4000</v>
      </c>
      <c r="D163" s="20">
        <v>8</v>
      </c>
    </row>
    <row r="164" spans="1:7" x14ac:dyDescent="0.2">
      <c r="A164" s="48">
        <v>40000</v>
      </c>
      <c r="B164" s="48"/>
      <c r="C164" s="20"/>
      <c r="D164" s="20">
        <v>9</v>
      </c>
    </row>
    <row r="165" spans="1:7" x14ac:dyDescent="0.2">
      <c r="A165" s="48">
        <f>A164</f>
        <v>40000</v>
      </c>
      <c r="B165" s="48"/>
      <c r="C165" s="20"/>
      <c r="D165" s="20">
        <v>10</v>
      </c>
    </row>
    <row r="166" spans="1:7" x14ac:dyDescent="0.2">
      <c r="A166" s="48">
        <f t="shared" ref="A166" si="2">A165</f>
        <v>40000</v>
      </c>
      <c r="B166" s="48"/>
      <c r="C166" s="20"/>
      <c r="D166" s="20">
        <v>11</v>
      </c>
    </row>
    <row r="167" spans="1:7" x14ac:dyDescent="0.2">
      <c r="B167" s="20"/>
      <c r="C167" s="20"/>
    </row>
    <row r="169" spans="1:7" x14ac:dyDescent="0.2">
      <c r="A169" s="25">
        <f>NPV($E$154/100,A157:A166)</f>
        <v>84353.644376264521</v>
      </c>
      <c r="B169" s="25">
        <f>NPV($E$154/100,B157:B163)</f>
        <v>31412.554825299692</v>
      </c>
      <c r="C169" s="25">
        <f>NPV($E$154/100,C157:C163)</f>
        <v>24008.218679793659</v>
      </c>
      <c r="F169" s="1" t="s">
        <v>90</v>
      </c>
      <c r="G169" s="1" t="s">
        <v>77</v>
      </c>
    </row>
    <row r="170" spans="1:7" x14ac:dyDescent="0.2">
      <c r="A170" s="25"/>
      <c r="B170" s="25"/>
      <c r="C170" s="25"/>
    </row>
    <row r="171" spans="1:7" x14ac:dyDescent="0.2">
      <c r="A171" s="414" t="s">
        <v>1820</v>
      </c>
    </row>
    <row r="172" spans="1:7" x14ac:dyDescent="0.2">
      <c r="A172" s="406" t="s">
        <v>3007</v>
      </c>
    </row>
    <row r="173" spans="1:7" x14ac:dyDescent="0.2">
      <c r="A173" s="1" t="s">
        <v>110</v>
      </c>
    </row>
    <row r="175" spans="1:7" x14ac:dyDescent="0.2">
      <c r="B175" s="27" t="s">
        <v>109</v>
      </c>
      <c r="C175" s="27" t="s">
        <v>108</v>
      </c>
      <c r="D175" s="27" t="s">
        <v>107</v>
      </c>
      <c r="E175" s="28" t="s">
        <v>60</v>
      </c>
    </row>
    <row r="176" spans="1:7" x14ac:dyDescent="0.2">
      <c r="B176" s="48" t="s">
        <v>75</v>
      </c>
      <c r="C176" s="48" t="s">
        <v>75</v>
      </c>
      <c r="D176" s="48" t="s">
        <v>75</v>
      </c>
      <c r="E176" s="1" t="s">
        <v>111</v>
      </c>
      <c r="F176" s="1" t="s">
        <v>112</v>
      </c>
    </row>
    <row r="177" spans="2:11" x14ac:dyDescent="0.2">
      <c r="B177" s="409">
        <v>3</v>
      </c>
      <c r="C177" s="409">
        <v>4</v>
      </c>
      <c r="D177" s="48">
        <v>7</v>
      </c>
      <c r="E177" s="1" t="s">
        <v>62</v>
      </c>
      <c r="F177" s="1" t="s">
        <v>113</v>
      </c>
    </row>
    <row r="178" spans="2:11" x14ac:dyDescent="0.2">
      <c r="B178" s="409">
        <v>4</v>
      </c>
      <c r="C178" s="409">
        <v>4</v>
      </c>
      <c r="D178" s="48">
        <v>4</v>
      </c>
      <c r="E178" s="1" t="s">
        <v>63</v>
      </c>
      <c r="F178" s="1" t="s">
        <v>114</v>
      </c>
    </row>
    <row r="179" spans="2:11" x14ac:dyDescent="0.2">
      <c r="B179" s="410">
        <f>PV(B178/100,B177,B180)</f>
        <v>-111003.64132908519</v>
      </c>
      <c r="C179" s="410">
        <f>PV(C178/100,C177,C180)</f>
        <v>-32669.057018311716</v>
      </c>
      <c r="D179" s="23">
        <f>PV(D178/100,D177,D180)</f>
        <v>-24008.218679793674</v>
      </c>
      <c r="E179" s="1" t="s">
        <v>64</v>
      </c>
      <c r="F179" s="212" t="s">
        <v>77</v>
      </c>
      <c r="G179" s="1" t="s">
        <v>115</v>
      </c>
    </row>
    <row r="180" spans="2:11" x14ac:dyDescent="0.2">
      <c r="B180" s="409">
        <v>40000</v>
      </c>
      <c r="C180" s="409">
        <v>9000</v>
      </c>
      <c r="D180" s="48">
        <v>4000</v>
      </c>
      <c r="E180" s="1" t="s">
        <v>65</v>
      </c>
      <c r="F180" s="1" t="s">
        <v>116</v>
      </c>
    </row>
    <row r="181" spans="2:11" x14ac:dyDescent="0.2">
      <c r="B181" s="409">
        <v>0</v>
      </c>
      <c r="C181" s="409">
        <v>0</v>
      </c>
      <c r="D181" s="48">
        <v>0</v>
      </c>
      <c r="E181" s="1" t="s">
        <v>66</v>
      </c>
      <c r="F181" s="1" t="s">
        <v>117</v>
      </c>
    </row>
    <row r="182" spans="2:11" x14ac:dyDescent="0.2">
      <c r="B182" s="20"/>
      <c r="C182" s="20"/>
      <c r="D182" s="20"/>
    </row>
    <row r="183" spans="2:11" x14ac:dyDescent="0.2">
      <c r="B183" s="20"/>
      <c r="C183" s="20"/>
      <c r="D183" s="20"/>
      <c r="K183" s="406" t="s">
        <v>3009</v>
      </c>
    </row>
    <row r="184" spans="2:11" x14ac:dyDescent="0.2">
      <c r="B184" s="20" t="s">
        <v>128</v>
      </c>
      <c r="C184" s="20"/>
      <c r="D184" s="29" t="s">
        <v>118</v>
      </c>
      <c r="K184" s="406" t="s">
        <v>3010</v>
      </c>
    </row>
    <row r="185" spans="2:11" x14ac:dyDescent="0.2">
      <c r="B185" s="20" t="s">
        <v>129</v>
      </c>
      <c r="C185" s="20"/>
      <c r="D185" s="29" t="s">
        <v>119</v>
      </c>
      <c r="K185" s="406" t="s">
        <v>3011</v>
      </c>
    </row>
    <row r="186" spans="2:11" x14ac:dyDescent="0.2">
      <c r="B186" s="20" t="s">
        <v>130</v>
      </c>
      <c r="C186" s="20"/>
      <c r="D186" s="415" t="s">
        <v>3008</v>
      </c>
      <c r="K186" s="406" t="s">
        <v>3012</v>
      </c>
    </row>
    <row r="187" spans="2:11" x14ac:dyDescent="0.2">
      <c r="B187" s="20" t="s">
        <v>131</v>
      </c>
      <c r="C187" s="20"/>
      <c r="D187" s="30">
        <f>-D179</f>
        <v>24008.218679793674</v>
      </c>
      <c r="K187" s="406" t="s">
        <v>3013</v>
      </c>
    </row>
    <row r="188" spans="2:11" x14ac:dyDescent="0.2">
      <c r="B188" s="20" t="s">
        <v>132</v>
      </c>
      <c r="K188" s="406" t="s">
        <v>3014</v>
      </c>
    </row>
    <row r="189" spans="2:11" x14ac:dyDescent="0.2">
      <c r="B189" s="20" t="s">
        <v>133</v>
      </c>
      <c r="C189" s="1" t="s">
        <v>120</v>
      </c>
      <c r="K189" s="406" t="s">
        <v>77</v>
      </c>
    </row>
    <row r="190" spans="2:11" x14ac:dyDescent="0.2">
      <c r="B190" s="20" t="s">
        <v>134</v>
      </c>
      <c r="C190" s="1" t="s">
        <v>121</v>
      </c>
    </row>
    <row r="191" spans="2:11" x14ac:dyDescent="0.2">
      <c r="B191" s="20" t="s">
        <v>135</v>
      </c>
      <c r="C191" s="1" t="s">
        <v>122</v>
      </c>
    </row>
    <row r="192" spans="2:11" x14ac:dyDescent="0.2">
      <c r="B192" s="20" t="s">
        <v>136</v>
      </c>
      <c r="E192" s="1">
        <f>-C179/1.04</f>
        <v>31412.554825299725</v>
      </c>
      <c r="G192" s="1" t="s">
        <v>123</v>
      </c>
    </row>
    <row r="193" spans="1:10" x14ac:dyDescent="0.2">
      <c r="B193" s="20" t="s">
        <v>137</v>
      </c>
    </row>
    <row r="194" spans="1:10" x14ac:dyDescent="0.2">
      <c r="C194" s="1" t="s">
        <v>127</v>
      </c>
    </row>
    <row r="195" spans="1:10" x14ac:dyDescent="0.2">
      <c r="B195" s="27" t="s">
        <v>109</v>
      </c>
      <c r="C195" s="27" t="s">
        <v>108</v>
      </c>
      <c r="D195" s="27" t="s">
        <v>107</v>
      </c>
      <c r="E195" s="28" t="s">
        <v>60</v>
      </c>
    </row>
    <row r="196" spans="1:10" x14ac:dyDescent="0.2">
      <c r="B196" s="20" t="s">
        <v>75</v>
      </c>
      <c r="C196" s="20" t="s">
        <v>75</v>
      </c>
      <c r="D196" s="20" t="s">
        <v>138</v>
      </c>
      <c r="E196" s="1" t="s">
        <v>111</v>
      </c>
    </row>
    <row r="197" spans="1:10" x14ac:dyDescent="0.2">
      <c r="B197" s="31">
        <v>7</v>
      </c>
      <c r="C197" s="31">
        <v>1</v>
      </c>
      <c r="D197" s="20" t="s">
        <v>139</v>
      </c>
      <c r="E197" s="1" t="s">
        <v>62</v>
      </c>
      <c r="F197" s="1" t="s">
        <v>124</v>
      </c>
    </row>
    <row r="198" spans="1:10" x14ac:dyDescent="0.2">
      <c r="B198" s="20">
        <v>4</v>
      </c>
      <c r="C198" s="20">
        <v>4</v>
      </c>
      <c r="D198" s="20" t="s">
        <v>140</v>
      </c>
      <c r="E198" s="1" t="s">
        <v>63</v>
      </c>
      <c r="F198" s="1" t="s">
        <v>125</v>
      </c>
    </row>
    <row r="199" spans="1:10" ht="18" x14ac:dyDescent="0.2">
      <c r="A199" s="210" t="s">
        <v>145</v>
      </c>
      <c r="B199" s="33">
        <f>PV(B198/100,B197,B200,B201)</f>
        <v>-84353.644376264594</v>
      </c>
      <c r="C199" s="33">
        <f>PV(C198/100,C197,C200,C201)</f>
        <v>-31412.554825299725</v>
      </c>
      <c r="D199" s="34">
        <f>D179</f>
        <v>-24008.218679793674</v>
      </c>
      <c r="E199" s="1" t="s">
        <v>64</v>
      </c>
      <c r="F199" s="212" t="s">
        <v>77</v>
      </c>
    </row>
    <row r="200" spans="1:10" x14ac:dyDescent="0.2">
      <c r="B200" s="20">
        <v>0</v>
      </c>
      <c r="C200" s="20">
        <v>0</v>
      </c>
      <c r="D200" s="458"/>
      <c r="E200" s="1" t="s">
        <v>65</v>
      </c>
    </row>
    <row r="201" spans="1:10" x14ac:dyDescent="0.2">
      <c r="B201" s="30">
        <f>-B179</f>
        <v>111003.64132908519</v>
      </c>
      <c r="C201" s="30">
        <f>-C179</f>
        <v>32669.057018311716</v>
      </c>
      <c r="D201" s="458"/>
      <c r="E201" s="1" t="s">
        <v>66</v>
      </c>
      <c r="F201" s="1" t="s">
        <v>126</v>
      </c>
    </row>
    <row r="202" spans="1:10" ht="17" thickBot="1" x14ac:dyDescent="0.25"/>
    <row r="203" spans="1:10" x14ac:dyDescent="0.2">
      <c r="A203" s="132" t="s">
        <v>141</v>
      </c>
      <c r="B203" s="13"/>
      <c r="C203" s="13"/>
      <c r="D203" s="13"/>
      <c r="E203" s="13"/>
      <c r="F203" s="13"/>
      <c r="G203" s="13"/>
      <c r="H203" s="13"/>
      <c r="I203" s="13"/>
      <c r="J203" s="14"/>
    </row>
    <row r="204" spans="1:10" x14ac:dyDescent="0.2">
      <c r="A204" s="72" t="s">
        <v>1821</v>
      </c>
      <c r="J204" s="73"/>
    </row>
    <row r="205" spans="1:10" x14ac:dyDescent="0.2">
      <c r="A205" s="72" t="s">
        <v>1822</v>
      </c>
      <c r="J205" s="73"/>
    </row>
    <row r="206" spans="1:10" x14ac:dyDescent="0.2">
      <c r="A206" s="72"/>
      <c r="B206" s="1" t="s">
        <v>142</v>
      </c>
      <c r="J206" s="73"/>
    </row>
    <row r="207" spans="1:10" x14ac:dyDescent="0.2">
      <c r="A207" s="72"/>
      <c r="B207" s="1" t="s">
        <v>143</v>
      </c>
      <c r="J207" s="73"/>
    </row>
    <row r="208" spans="1:10" ht="17" thickBot="1" x14ac:dyDescent="0.25">
      <c r="A208" s="15"/>
      <c r="B208" s="16"/>
      <c r="C208" s="16"/>
      <c r="D208" s="16"/>
      <c r="E208" s="16" t="s">
        <v>144</v>
      </c>
      <c r="F208" s="16"/>
      <c r="G208" s="16"/>
      <c r="H208" s="16"/>
      <c r="I208" s="16"/>
      <c r="J208" s="17"/>
    </row>
    <row r="210" spans="1:8" x14ac:dyDescent="0.2">
      <c r="A210" s="214" t="s">
        <v>1823</v>
      </c>
      <c r="B210" s="215"/>
      <c r="C210" s="215"/>
      <c r="D210" s="215"/>
      <c r="E210" s="215"/>
      <c r="F210" s="215"/>
      <c r="G210" s="215"/>
      <c r="H210" s="215"/>
    </row>
    <row r="212" spans="1:8" x14ac:dyDescent="0.2">
      <c r="A212" s="1" t="s">
        <v>1824</v>
      </c>
    </row>
    <row r="213" spans="1:8" x14ac:dyDescent="0.2">
      <c r="A213" s="1" t="s">
        <v>1825</v>
      </c>
    </row>
    <row r="214" spans="1:8" x14ac:dyDescent="0.2">
      <c r="A214" s="1" t="s">
        <v>1826</v>
      </c>
    </row>
    <row r="216" spans="1:8" x14ac:dyDescent="0.2">
      <c r="A216" s="18" t="s">
        <v>1833</v>
      </c>
    </row>
    <row r="217" spans="1:8" x14ac:dyDescent="0.2">
      <c r="B217" s="20" t="s">
        <v>1829</v>
      </c>
      <c r="D217" s="20" t="s">
        <v>1828</v>
      </c>
      <c r="G217" s="20" t="s">
        <v>1827</v>
      </c>
    </row>
    <row r="218" spans="1:8" x14ac:dyDescent="0.2">
      <c r="B218" s="20">
        <v>12</v>
      </c>
      <c r="D218" s="20">
        <v>4</v>
      </c>
      <c r="E218" s="20">
        <v>3</v>
      </c>
      <c r="G218" s="20">
        <v>0</v>
      </c>
    </row>
    <row r="219" spans="1:8" x14ac:dyDescent="0.2">
      <c r="B219" s="20"/>
      <c r="D219" s="20"/>
      <c r="G219" s="20"/>
    </row>
    <row r="220" spans="1:8" x14ac:dyDescent="0.2">
      <c r="D220" s="20"/>
      <c r="G220" s="20" t="s">
        <v>1140</v>
      </c>
    </row>
    <row r="221" spans="1:8" x14ac:dyDescent="0.2">
      <c r="C221" s="20" t="s">
        <v>1830</v>
      </c>
      <c r="D221" s="20"/>
      <c r="G221" s="20"/>
    </row>
    <row r="222" spans="1:8" x14ac:dyDescent="0.2">
      <c r="C222" s="20" t="s">
        <v>1831</v>
      </c>
      <c r="D222" s="20"/>
      <c r="G222" s="20"/>
    </row>
    <row r="223" spans="1:8" x14ac:dyDescent="0.2">
      <c r="C223" s="20" t="s">
        <v>1832</v>
      </c>
      <c r="D223" s="20"/>
      <c r="G223" s="20"/>
    </row>
    <row r="224" spans="1:8" x14ac:dyDescent="0.2">
      <c r="C224" s="20"/>
      <c r="D224" s="20"/>
      <c r="G224" s="20"/>
    </row>
    <row r="225" spans="1:7" x14ac:dyDescent="0.2">
      <c r="C225" s="20"/>
      <c r="D225" s="20"/>
      <c r="G225" s="20"/>
    </row>
    <row r="226" spans="1:7" x14ac:dyDescent="0.2">
      <c r="C226" s="20"/>
      <c r="D226" s="20"/>
      <c r="G226" s="20"/>
    </row>
    <row r="227" spans="1:7" x14ac:dyDescent="0.2">
      <c r="C227" s="20"/>
      <c r="D227" s="20"/>
      <c r="G227" s="20"/>
    </row>
    <row r="228" spans="1:7" x14ac:dyDescent="0.2">
      <c r="D228" s="20"/>
      <c r="G228" s="20"/>
    </row>
    <row r="229" spans="1:7" x14ac:dyDescent="0.2">
      <c r="D229" s="20"/>
      <c r="G229" s="20"/>
    </row>
    <row r="230" spans="1:7" x14ac:dyDescent="0.2">
      <c r="D230" s="20"/>
      <c r="G230" s="20"/>
    </row>
    <row r="231" spans="1:7" x14ac:dyDescent="0.2">
      <c r="D231" s="20"/>
      <c r="G231" s="20"/>
    </row>
    <row r="232" spans="1:7" x14ac:dyDescent="0.2">
      <c r="D232" s="20"/>
      <c r="G232" s="20"/>
    </row>
    <row r="233" spans="1:7" x14ac:dyDescent="0.2">
      <c r="D233" s="20"/>
      <c r="G233" s="20"/>
    </row>
    <row r="234" spans="1:7" x14ac:dyDescent="0.2">
      <c r="D234" s="20"/>
      <c r="G234" s="20"/>
    </row>
    <row r="235" spans="1:7" x14ac:dyDescent="0.2">
      <c r="D235" s="20"/>
      <c r="G235" s="20"/>
    </row>
    <row r="236" spans="1:7" x14ac:dyDescent="0.2">
      <c r="A236" s="18" t="s">
        <v>1834</v>
      </c>
      <c r="D236" s="20"/>
      <c r="G236" s="20"/>
    </row>
    <row r="237" spans="1:7" x14ac:dyDescent="0.2">
      <c r="D237" s="20" t="s">
        <v>1228</v>
      </c>
      <c r="E237" s="20" t="s">
        <v>1142</v>
      </c>
      <c r="F237" s="1" t="s">
        <v>60</v>
      </c>
      <c r="G237" s="20"/>
    </row>
    <row r="238" spans="1:7" x14ac:dyDescent="0.2">
      <c r="D238" s="20" t="s">
        <v>75</v>
      </c>
      <c r="E238" s="20" t="s">
        <v>75</v>
      </c>
      <c r="F238" s="1" t="s">
        <v>111</v>
      </c>
      <c r="G238" s="20"/>
    </row>
    <row r="239" spans="1:7" x14ac:dyDescent="0.2">
      <c r="D239" s="20">
        <v>3</v>
      </c>
      <c r="E239" s="20">
        <v>9</v>
      </c>
      <c r="F239" s="1" t="s">
        <v>62</v>
      </c>
      <c r="G239" s="20"/>
    </row>
    <row r="240" spans="1:7" x14ac:dyDescent="0.2">
      <c r="D240" s="20">
        <v>3</v>
      </c>
      <c r="E240" s="20">
        <v>3</v>
      </c>
      <c r="F240" s="1" t="s">
        <v>63</v>
      </c>
      <c r="G240" s="20"/>
    </row>
    <row r="241" spans="1:7" x14ac:dyDescent="0.2">
      <c r="C241" s="1" t="s">
        <v>77</v>
      </c>
      <c r="D241" s="351">
        <f>PV(D240/100,D239,D242,D243)</f>
        <v>-356269.63193364412</v>
      </c>
      <c r="E241" s="50">
        <f>PV(E240/100,E239,E242,E243)</f>
        <v>-389305.44609395514</v>
      </c>
      <c r="F241" s="1" t="s">
        <v>64</v>
      </c>
      <c r="G241" s="20" t="s">
        <v>77</v>
      </c>
    </row>
    <row r="242" spans="1:7" x14ac:dyDescent="0.2">
      <c r="D242" s="20">
        <v>0</v>
      </c>
      <c r="E242" s="20">
        <v>50000</v>
      </c>
      <c r="F242" s="1" t="s">
        <v>65</v>
      </c>
      <c r="G242" s="20"/>
    </row>
    <row r="243" spans="1:7" x14ac:dyDescent="0.2">
      <c r="D243" s="30">
        <f>-E241</f>
        <v>389305.44609395514</v>
      </c>
      <c r="E243" s="20">
        <v>0</v>
      </c>
      <c r="F243" s="1" t="s">
        <v>66</v>
      </c>
      <c r="G243" s="20"/>
    </row>
    <row r="244" spans="1:7" x14ac:dyDescent="0.2">
      <c r="D244" s="20"/>
      <c r="G244" s="20"/>
    </row>
    <row r="245" spans="1:7" x14ac:dyDescent="0.2">
      <c r="A245" s="18" t="s">
        <v>1835</v>
      </c>
      <c r="D245" s="20"/>
      <c r="G245" s="20"/>
    </row>
    <row r="246" spans="1:7" x14ac:dyDescent="0.2">
      <c r="D246" s="20"/>
      <c r="F246" s="1" t="s">
        <v>84</v>
      </c>
      <c r="G246" s="20"/>
    </row>
    <row r="247" spans="1:7" x14ac:dyDescent="0.2">
      <c r="D247" s="20"/>
      <c r="E247" s="1">
        <v>3</v>
      </c>
      <c r="F247" s="1" t="s">
        <v>63</v>
      </c>
      <c r="G247" s="20"/>
    </row>
    <row r="248" spans="1:7" x14ac:dyDescent="0.2">
      <c r="D248" s="20" t="s">
        <v>87</v>
      </c>
      <c r="F248" s="1" t="s">
        <v>1001</v>
      </c>
      <c r="G248" s="416" t="s">
        <v>3015</v>
      </c>
    </row>
    <row r="249" spans="1:7" x14ac:dyDescent="0.2">
      <c r="D249" s="20">
        <v>0</v>
      </c>
      <c r="E249" s="1">
        <v>1</v>
      </c>
      <c r="G249" s="20"/>
    </row>
    <row r="250" spans="1:7" x14ac:dyDescent="0.2">
      <c r="D250" s="20">
        <v>0</v>
      </c>
      <c r="E250" s="1">
        <f>E249+1</f>
        <v>2</v>
      </c>
      <c r="G250" s="20"/>
    </row>
    <row r="251" spans="1:7" x14ac:dyDescent="0.2">
      <c r="D251" s="20">
        <v>0</v>
      </c>
      <c r="E251" s="1">
        <f t="shared" ref="E251:E261" si="3">E250+1</f>
        <v>3</v>
      </c>
      <c r="G251" s="20"/>
    </row>
    <row r="252" spans="1:7" x14ac:dyDescent="0.2">
      <c r="D252" s="20">
        <v>0</v>
      </c>
      <c r="E252" s="1">
        <f t="shared" si="3"/>
        <v>4</v>
      </c>
      <c r="G252" s="20"/>
    </row>
    <row r="253" spans="1:7" x14ac:dyDescent="0.2">
      <c r="D253" s="20">
        <v>50000</v>
      </c>
      <c r="E253" s="1">
        <f t="shared" si="3"/>
        <v>5</v>
      </c>
      <c r="G253" s="20"/>
    </row>
    <row r="254" spans="1:7" x14ac:dyDescent="0.2">
      <c r="D254" s="20">
        <v>50000</v>
      </c>
      <c r="E254" s="1">
        <f t="shared" si="3"/>
        <v>6</v>
      </c>
      <c r="G254" s="20"/>
    </row>
    <row r="255" spans="1:7" x14ac:dyDescent="0.2">
      <c r="D255" s="20">
        <v>50000</v>
      </c>
      <c r="E255" s="1">
        <f t="shared" si="3"/>
        <v>7</v>
      </c>
      <c r="G255" s="20"/>
    </row>
    <row r="256" spans="1:7" x14ac:dyDescent="0.2">
      <c r="D256" s="20">
        <v>50000</v>
      </c>
      <c r="E256" s="1">
        <f t="shared" si="3"/>
        <v>8</v>
      </c>
      <c r="G256" s="20"/>
    </row>
    <row r="257" spans="1:8" x14ac:dyDescent="0.2">
      <c r="D257" s="20">
        <v>50000</v>
      </c>
      <c r="E257" s="1">
        <f t="shared" si="3"/>
        <v>9</v>
      </c>
      <c r="G257" s="20"/>
    </row>
    <row r="258" spans="1:8" x14ac:dyDescent="0.2">
      <c r="D258" s="20">
        <v>50000</v>
      </c>
      <c r="E258" s="1">
        <f t="shared" si="3"/>
        <v>10</v>
      </c>
      <c r="G258" s="20"/>
    </row>
    <row r="259" spans="1:8" x14ac:dyDescent="0.2">
      <c r="D259" s="20">
        <v>50000</v>
      </c>
      <c r="E259" s="1">
        <f t="shared" si="3"/>
        <v>11</v>
      </c>
      <c r="G259" s="20"/>
    </row>
    <row r="260" spans="1:8" x14ac:dyDescent="0.2">
      <c r="D260" s="20">
        <v>50000</v>
      </c>
      <c r="E260" s="1">
        <f t="shared" si="3"/>
        <v>12</v>
      </c>
      <c r="G260" s="20"/>
    </row>
    <row r="261" spans="1:8" x14ac:dyDescent="0.2">
      <c r="D261" s="20">
        <v>50000</v>
      </c>
      <c r="E261" s="1">
        <f t="shared" si="3"/>
        <v>13</v>
      </c>
      <c r="F261" s="406" t="s">
        <v>3016</v>
      </c>
      <c r="G261" s="20"/>
    </row>
    <row r="262" spans="1:8" x14ac:dyDescent="0.2">
      <c r="D262" s="20"/>
      <c r="G262" s="20"/>
    </row>
    <row r="263" spans="1:8" ht="21" x14ac:dyDescent="0.25">
      <c r="D263" s="216">
        <f>NPV(E247/100,D250:D261)</f>
        <v>356269.63193364412</v>
      </c>
      <c r="F263" s="1" t="s">
        <v>1278</v>
      </c>
      <c r="G263" s="20"/>
    </row>
    <row r="264" spans="1:8" x14ac:dyDescent="0.2">
      <c r="D264" s="20"/>
      <c r="G264" s="20"/>
    </row>
    <row r="265" spans="1:8" x14ac:dyDescent="0.2">
      <c r="D265" s="20"/>
      <c r="G265" s="20"/>
    </row>
    <row r="266" spans="1:8" x14ac:dyDescent="0.2">
      <c r="A266" s="6" t="s">
        <v>33</v>
      </c>
      <c r="B266" s="5"/>
      <c r="C266" s="5"/>
      <c r="D266" s="5"/>
      <c r="E266" s="5"/>
      <c r="F266" s="5"/>
      <c r="G266" s="5"/>
      <c r="H266" s="5">
        <v>1.3</v>
      </c>
    </row>
    <row r="268" spans="1:8" x14ac:dyDescent="0.2">
      <c r="A268" s="1" t="s">
        <v>34</v>
      </c>
    </row>
    <row r="269" spans="1:8" x14ac:dyDescent="0.2">
      <c r="A269" s="1" t="s">
        <v>35</v>
      </c>
    </row>
    <row r="270" spans="1:8" x14ac:dyDescent="0.2">
      <c r="A270" s="1" t="s">
        <v>36</v>
      </c>
    </row>
    <row r="271" spans="1:8" x14ac:dyDescent="0.2">
      <c r="A271" s="1" t="s">
        <v>37</v>
      </c>
    </row>
    <row r="272" spans="1:8" x14ac:dyDescent="0.2">
      <c r="A272" s="1" t="s">
        <v>38</v>
      </c>
    </row>
    <row r="274" spans="1:8" x14ac:dyDescent="0.2">
      <c r="A274" s="1" t="s">
        <v>146</v>
      </c>
    </row>
    <row r="276" spans="1:8" x14ac:dyDescent="0.2">
      <c r="A276" s="1" t="s">
        <v>147</v>
      </c>
    </row>
    <row r="277" spans="1:8" x14ac:dyDescent="0.2">
      <c r="A277" s="1" t="s">
        <v>148</v>
      </c>
    </row>
    <row r="279" spans="1:8" x14ac:dyDescent="0.2">
      <c r="A279" s="1" t="s">
        <v>149</v>
      </c>
    </row>
    <row r="280" spans="1:8" x14ac:dyDescent="0.2">
      <c r="A280" s="1" t="s">
        <v>150</v>
      </c>
    </row>
    <row r="282" spans="1:8" x14ac:dyDescent="0.2">
      <c r="A282" s="1" t="s">
        <v>151</v>
      </c>
    </row>
    <row r="284" spans="1:8" x14ac:dyDescent="0.2">
      <c r="D284" s="411"/>
      <c r="E284" s="418" t="s">
        <v>60</v>
      </c>
      <c r="F284" s="411"/>
      <c r="G284" s="411"/>
      <c r="H284" s="411"/>
    </row>
    <row r="285" spans="1:8" x14ac:dyDescent="0.2">
      <c r="A285" s="411"/>
      <c r="B285" s="20" t="s">
        <v>75</v>
      </c>
      <c r="D285" s="409" t="s">
        <v>152</v>
      </c>
      <c r="E285" s="411" t="s">
        <v>111</v>
      </c>
      <c r="F285" s="411" t="s">
        <v>153</v>
      </c>
      <c r="G285" s="411"/>
      <c r="H285" s="411"/>
    </row>
    <row r="286" spans="1:8" x14ac:dyDescent="0.2">
      <c r="A286" s="411"/>
      <c r="B286" s="20">
        <v>20</v>
      </c>
      <c r="D286" s="409">
        <v>20</v>
      </c>
      <c r="E286" s="411" t="s">
        <v>62</v>
      </c>
      <c r="F286" s="411" t="s">
        <v>156</v>
      </c>
      <c r="G286" s="411"/>
      <c r="H286" s="411"/>
    </row>
    <row r="287" spans="1:8" x14ac:dyDescent="0.2">
      <c r="A287" s="411"/>
      <c r="B287" s="20">
        <v>3</v>
      </c>
      <c r="D287" s="409">
        <v>3</v>
      </c>
      <c r="E287" s="411" t="s">
        <v>63</v>
      </c>
      <c r="F287" s="411"/>
      <c r="G287" s="411"/>
      <c r="H287" s="411"/>
    </row>
    <row r="288" spans="1:8" x14ac:dyDescent="0.2">
      <c r="A288" s="411"/>
      <c r="B288" s="34">
        <f>PV(B287/100,B286,B289,B290,0)</f>
        <v>-148774.748604555</v>
      </c>
      <c r="D288" s="417">
        <f>PV(D287/100,D286,D289,D290,1)</f>
        <v>-153237.99106269167</v>
      </c>
      <c r="E288" s="411" t="s">
        <v>64</v>
      </c>
      <c r="F288" s="411" t="s">
        <v>77</v>
      </c>
      <c r="G288" s="411"/>
      <c r="H288" s="411"/>
    </row>
    <row r="289" spans="1:8" x14ac:dyDescent="0.2">
      <c r="A289" s="411"/>
      <c r="B289" s="20">
        <v>10000</v>
      </c>
      <c r="D289" s="409">
        <v>10000</v>
      </c>
      <c r="E289" s="411" t="s">
        <v>65</v>
      </c>
      <c r="F289" s="411"/>
      <c r="G289" s="411"/>
      <c r="H289" s="411"/>
    </row>
    <row r="290" spans="1:8" x14ac:dyDescent="0.2">
      <c r="A290" s="411"/>
      <c r="B290" s="20">
        <v>0</v>
      </c>
      <c r="D290" s="409">
        <v>0</v>
      </c>
      <c r="E290" s="411" t="s">
        <v>66</v>
      </c>
      <c r="F290" s="411"/>
      <c r="G290" s="411"/>
      <c r="H290" s="411"/>
    </row>
    <row r="291" spans="1:8" x14ac:dyDescent="0.2">
      <c r="A291" s="411"/>
      <c r="B291" s="20"/>
      <c r="D291" s="409"/>
      <c r="E291" s="411"/>
      <c r="F291" s="411"/>
      <c r="G291" s="411"/>
      <c r="H291" s="411"/>
    </row>
    <row r="292" spans="1:8" x14ac:dyDescent="0.2">
      <c r="A292" s="411"/>
      <c r="B292" s="20"/>
      <c r="D292" s="409"/>
      <c r="E292" s="411"/>
      <c r="F292" s="411"/>
      <c r="G292" s="411"/>
      <c r="H292" s="411"/>
    </row>
    <row r="293" spans="1:8" x14ac:dyDescent="0.2">
      <c r="A293" s="409" t="s">
        <v>160</v>
      </c>
      <c r="D293" s="409" t="s">
        <v>159</v>
      </c>
      <c r="E293" s="411"/>
      <c r="F293" s="411"/>
    </row>
    <row r="294" spans="1:8" x14ac:dyDescent="0.2">
      <c r="A294" s="20" t="s">
        <v>161</v>
      </c>
      <c r="D294" s="409"/>
      <c r="E294" s="411"/>
      <c r="F294" s="411"/>
    </row>
    <row r="295" spans="1:8" x14ac:dyDescent="0.2">
      <c r="A295" s="1" t="s">
        <v>162</v>
      </c>
      <c r="C295" s="1" t="s">
        <v>163</v>
      </c>
      <c r="D295" s="411"/>
      <c r="E295" s="411"/>
      <c r="F295" s="411"/>
    </row>
    <row r="296" spans="1:8" x14ac:dyDescent="0.2">
      <c r="B296" s="32">
        <f>-D288</f>
        <v>153237.99106269167</v>
      </c>
    </row>
    <row r="298" spans="1:8" x14ac:dyDescent="0.2">
      <c r="A298" s="1" t="s">
        <v>154</v>
      </c>
    </row>
    <row r="299" spans="1:8" x14ac:dyDescent="0.2">
      <c r="A299" s="1" t="s">
        <v>155</v>
      </c>
    </row>
    <row r="301" spans="1:8" x14ac:dyDescent="0.2">
      <c r="A301" s="1" t="s">
        <v>157</v>
      </c>
    </row>
    <row r="302" spans="1:8" x14ac:dyDescent="0.2">
      <c r="A302" s="1" t="s">
        <v>158</v>
      </c>
    </row>
    <row r="308" spans="1:8" x14ac:dyDescent="0.2">
      <c r="A308" s="6" t="s">
        <v>39</v>
      </c>
      <c r="B308" s="5"/>
      <c r="C308" s="5"/>
      <c r="D308" s="5"/>
      <c r="E308" s="5"/>
      <c r="F308" s="56" t="s">
        <v>340</v>
      </c>
      <c r="G308" s="5"/>
      <c r="H308" s="5">
        <v>1.5</v>
      </c>
    </row>
    <row r="310" spans="1:8" ht="17" thickBot="1" x14ac:dyDescent="0.25">
      <c r="A310" s="1" t="s">
        <v>40</v>
      </c>
    </row>
    <row r="311" spans="1:8" ht="17" thickBot="1" x14ac:dyDescent="0.25">
      <c r="A311" s="7" t="s">
        <v>41</v>
      </c>
      <c r="B311" s="8"/>
      <c r="C311" s="8"/>
      <c r="D311" s="8"/>
      <c r="E311" s="8"/>
      <c r="F311" s="8"/>
      <c r="G311" s="8"/>
      <c r="H311" s="9"/>
    </row>
    <row r="313" spans="1:8" x14ac:dyDescent="0.2">
      <c r="A313" s="1" t="s">
        <v>341</v>
      </c>
    </row>
    <row r="314" spans="1:8" x14ac:dyDescent="0.2">
      <c r="A314" s="1" t="s">
        <v>342</v>
      </c>
    </row>
    <row r="315" spans="1:8" x14ac:dyDescent="0.2">
      <c r="A315" s="1" t="s">
        <v>343</v>
      </c>
    </row>
    <row r="317" spans="1:8" x14ac:dyDescent="0.2">
      <c r="A317" s="1" t="s">
        <v>349</v>
      </c>
    </row>
    <row r="320" spans="1:8" x14ac:dyDescent="0.2">
      <c r="A320" s="1" t="s">
        <v>344</v>
      </c>
    </row>
    <row r="321" spans="1:8" x14ac:dyDescent="0.2">
      <c r="A321" s="1" t="s">
        <v>345</v>
      </c>
    </row>
    <row r="322" spans="1:8" x14ac:dyDescent="0.2">
      <c r="A322" s="1" t="s">
        <v>346</v>
      </c>
    </row>
    <row r="323" spans="1:8" x14ac:dyDescent="0.2">
      <c r="A323" s="1" t="s">
        <v>347</v>
      </c>
    </row>
    <row r="325" spans="1:8" x14ac:dyDescent="0.2">
      <c r="A325" s="1" t="s">
        <v>348</v>
      </c>
      <c r="E325" s="459">
        <f>70000/7%</f>
        <v>999999.99999999988</v>
      </c>
    </row>
    <row r="326" spans="1:8" x14ac:dyDescent="0.2">
      <c r="E326" s="459"/>
    </row>
    <row r="328" spans="1:8" x14ac:dyDescent="0.2">
      <c r="A328" s="1" t="s">
        <v>350</v>
      </c>
    </row>
    <row r="329" spans="1:8" x14ac:dyDescent="0.2">
      <c r="F329" s="20" t="s">
        <v>75</v>
      </c>
      <c r="G329" s="1" t="s">
        <v>111</v>
      </c>
    </row>
    <row r="330" spans="1:8" x14ac:dyDescent="0.2">
      <c r="A330" s="1" t="s">
        <v>351</v>
      </c>
      <c r="F330" s="46">
        <v>999</v>
      </c>
      <c r="G330" s="1" t="s">
        <v>62</v>
      </c>
    </row>
    <row r="331" spans="1:8" x14ac:dyDescent="0.2">
      <c r="F331" s="20">
        <v>7</v>
      </c>
      <c r="G331" s="1" t="s">
        <v>63</v>
      </c>
    </row>
    <row r="332" spans="1:8" x14ac:dyDescent="0.2">
      <c r="F332" s="57">
        <f>PV(F331/100,F330,F333,F334)</f>
        <v>-999999.99999999988</v>
      </c>
      <c r="G332" s="1" t="s">
        <v>64</v>
      </c>
      <c r="H332" s="1" t="s">
        <v>77</v>
      </c>
    </row>
    <row r="333" spans="1:8" x14ac:dyDescent="0.2">
      <c r="F333" s="20">
        <v>70000</v>
      </c>
      <c r="G333" s="1" t="s">
        <v>65</v>
      </c>
    </row>
    <row r="334" spans="1:8" x14ac:dyDescent="0.2">
      <c r="F334" s="20">
        <v>0</v>
      </c>
      <c r="G334" s="1" t="s">
        <v>66</v>
      </c>
    </row>
    <row r="336" spans="1:8" x14ac:dyDescent="0.2">
      <c r="A336" s="1" t="s">
        <v>352</v>
      </c>
    </row>
    <row r="337" spans="1:17" ht="17" thickBot="1" x14ac:dyDescent="0.25"/>
    <row r="338" spans="1:17" x14ac:dyDescent="0.2">
      <c r="A338" s="12" t="s">
        <v>42</v>
      </c>
      <c r="B338" s="13"/>
      <c r="C338" s="13"/>
      <c r="D338" s="13"/>
      <c r="E338" s="13"/>
      <c r="F338" s="13"/>
      <c r="G338" s="13"/>
      <c r="H338" s="14"/>
      <c r="L338" s="6" t="s">
        <v>543</v>
      </c>
      <c r="M338" s="5"/>
      <c r="N338" s="5"/>
      <c r="O338" s="5"/>
      <c r="P338" s="5"/>
      <c r="Q338" s="5"/>
    </row>
    <row r="339" spans="1:17" ht="17" thickBot="1" x14ac:dyDescent="0.25">
      <c r="A339" s="15" t="s">
        <v>43</v>
      </c>
      <c r="B339" s="16"/>
      <c r="C339" s="16"/>
      <c r="D339" s="16"/>
      <c r="E339" s="16"/>
      <c r="F339" s="16"/>
      <c r="G339" s="16"/>
      <c r="H339" s="17"/>
      <c r="L339" s="6" t="s">
        <v>544</v>
      </c>
      <c r="M339" s="5"/>
      <c r="N339" s="5"/>
      <c r="O339" s="5"/>
      <c r="P339" s="5"/>
      <c r="Q339" s="5"/>
    </row>
    <row r="341" spans="1:17" x14ac:dyDescent="0.2">
      <c r="A341" s="1" t="s">
        <v>353</v>
      </c>
      <c r="N341" s="58" t="s">
        <v>366</v>
      </c>
      <c r="O341" s="58"/>
    </row>
    <row r="342" spans="1:17" x14ac:dyDescent="0.2">
      <c r="A342" s="1" t="s">
        <v>354</v>
      </c>
      <c r="N342" s="58" t="s">
        <v>364</v>
      </c>
      <c r="O342" s="58" t="s">
        <v>362</v>
      </c>
    </row>
    <row r="343" spans="1:17" x14ac:dyDescent="0.2">
      <c r="A343" s="1" t="s">
        <v>355</v>
      </c>
      <c r="N343" s="58" t="s">
        <v>546</v>
      </c>
      <c r="O343" s="58" t="s">
        <v>545</v>
      </c>
    </row>
    <row r="344" spans="1:17" x14ac:dyDescent="0.2">
      <c r="N344" s="20" t="s">
        <v>75</v>
      </c>
      <c r="O344" s="20" t="s">
        <v>75</v>
      </c>
      <c r="P344" s="1" t="s">
        <v>111</v>
      </c>
    </row>
    <row r="345" spans="1:17" x14ac:dyDescent="0.2">
      <c r="A345" s="1" t="s">
        <v>356</v>
      </c>
      <c r="N345" s="46">
        <v>15</v>
      </c>
      <c r="O345" s="46">
        <v>999</v>
      </c>
      <c r="P345" s="1" t="s">
        <v>62</v>
      </c>
    </row>
    <row r="346" spans="1:17" x14ac:dyDescent="0.2">
      <c r="A346" s="1" t="s">
        <v>357</v>
      </c>
      <c r="N346" s="20">
        <v>8</v>
      </c>
      <c r="O346" s="20">
        <v>8</v>
      </c>
      <c r="P346" s="1" t="s">
        <v>63</v>
      </c>
    </row>
    <row r="347" spans="1:17" x14ac:dyDescent="0.2">
      <c r="M347" s="1" t="s">
        <v>547</v>
      </c>
      <c r="N347" s="59">
        <f>PV(N346/100,N345,N348,N349)</f>
        <v>-364535.30819133739</v>
      </c>
      <c r="O347" s="57">
        <f>PV(O346/100,O345,O348,O349)</f>
        <v>-287500</v>
      </c>
      <c r="P347" s="1" t="s">
        <v>64</v>
      </c>
      <c r="Q347" s="1" t="s">
        <v>77</v>
      </c>
    </row>
    <row r="348" spans="1:17" x14ac:dyDescent="0.2">
      <c r="A348" s="1" t="s">
        <v>358</v>
      </c>
      <c r="N348" s="20">
        <v>32000</v>
      </c>
      <c r="O348" s="20">
        <v>23000</v>
      </c>
      <c r="P348" s="1" t="s">
        <v>65</v>
      </c>
    </row>
    <row r="349" spans="1:17" x14ac:dyDescent="0.2">
      <c r="A349" s="1" t="s">
        <v>359</v>
      </c>
      <c r="N349" s="57">
        <f>-O347</f>
        <v>287500</v>
      </c>
      <c r="O349" s="20">
        <v>0</v>
      </c>
      <c r="P349" s="1" t="s">
        <v>66</v>
      </c>
    </row>
    <row r="350" spans="1:17" x14ac:dyDescent="0.2">
      <c r="A350" s="1" t="s">
        <v>360</v>
      </c>
    </row>
    <row r="351" spans="1:17" x14ac:dyDescent="0.2">
      <c r="A351" s="1" t="s">
        <v>361</v>
      </c>
      <c r="L351" s="1" t="s">
        <v>403</v>
      </c>
    </row>
    <row r="353" spans="1:8" x14ac:dyDescent="0.2">
      <c r="E353" s="58" t="s">
        <v>366</v>
      </c>
      <c r="F353" s="58"/>
    </row>
    <row r="354" spans="1:8" x14ac:dyDescent="0.2">
      <c r="E354" s="58" t="s">
        <v>364</v>
      </c>
      <c r="F354" s="58" t="s">
        <v>362</v>
      </c>
    </row>
    <row r="355" spans="1:8" x14ac:dyDescent="0.2">
      <c r="E355" s="58" t="s">
        <v>365</v>
      </c>
      <c r="F355" s="58" t="s">
        <v>363</v>
      </c>
    </row>
    <row r="356" spans="1:8" x14ac:dyDescent="0.2">
      <c r="E356" s="20" t="s">
        <v>75</v>
      </c>
      <c r="F356" s="20" t="s">
        <v>75</v>
      </c>
      <c r="G356" s="1" t="s">
        <v>111</v>
      </c>
    </row>
    <row r="357" spans="1:8" x14ac:dyDescent="0.2">
      <c r="E357" s="46">
        <v>10</v>
      </c>
      <c r="F357" s="46">
        <v>999</v>
      </c>
      <c r="G357" s="1" t="s">
        <v>62</v>
      </c>
    </row>
    <row r="358" spans="1:8" x14ac:dyDescent="0.2">
      <c r="E358" s="20">
        <v>7</v>
      </c>
      <c r="F358" s="20">
        <v>7</v>
      </c>
      <c r="G358" s="1" t="s">
        <v>63</v>
      </c>
    </row>
    <row r="359" spans="1:8" x14ac:dyDescent="0.2">
      <c r="B359" s="1" t="s">
        <v>367</v>
      </c>
      <c r="D359" s="20" t="s">
        <v>368</v>
      </c>
      <c r="E359" s="59">
        <f>PV(E358/100,E357,E360,E361)</f>
        <v>-1145242.6548956337</v>
      </c>
      <c r="F359" s="57">
        <f>PV(F358/100,F357,F360,F361)</f>
        <v>-1285714.2857142854</v>
      </c>
      <c r="G359" s="1" t="s">
        <v>64</v>
      </c>
      <c r="H359" s="1" t="s">
        <v>77</v>
      </c>
    </row>
    <row r="360" spans="1:8" x14ac:dyDescent="0.2">
      <c r="E360" s="20">
        <v>70000</v>
      </c>
      <c r="F360" s="20">
        <v>90000</v>
      </c>
      <c r="G360" s="1" t="s">
        <v>65</v>
      </c>
    </row>
    <row r="361" spans="1:8" x14ac:dyDescent="0.2">
      <c r="E361" s="57">
        <f>-F359</f>
        <v>1285714.2857142854</v>
      </c>
      <c r="F361" s="20">
        <v>0</v>
      </c>
      <c r="G361" s="1" t="s">
        <v>66</v>
      </c>
    </row>
    <row r="363" spans="1:8" x14ac:dyDescent="0.2">
      <c r="B363" s="1" t="s">
        <v>369</v>
      </c>
    </row>
    <row r="365" spans="1:8" x14ac:dyDescent="0.2">
      <c r="A365" s="1" t="s">
        <v>370</v>
      </c>
    </row>
    <row r="368" spans="1:8" x14ac:dyDescent="0.2">
      <c r="C368" s="460">
        <f>90000/7%*1.07^-10+70000*(1-1/1.07^10)/0.07</f>
        <v>1145242.6548956337</v>
      </c>
    </row>
    <row r="369" spans="1:8" x14ac:dyDescent="0.2">
      <c r="C369" s="460"/>
    </row>
    <row r="372" spans="1:8" x14ac:dyDescent="0.2">
      <c r="C372" s="20" t="s">
        <v>385</v>
      </c>
      <c r="E372" s="1" t="s">
        <v>377</v>
      </c>
      <c r="G372" s="1" t="s">
        <v>371</v>
      </c>
    </row>
    <row r="373" spans="1:8" x14ac:dyDescent="0.2">
      <c r="C373" s="20" t="s">
        <v>386</v>
      </c>
      <c r="E373" s="1" t="s">
        <v>378</v>
      </c>
      <c r="G373" s="1" t="s">
        <v>372</v>
      </c>
    </row>
    <row r="374" spans="1:8" x14ac:dyDescent="0.2">
      <c r="E374" s="1" t="s">
        <v>379</v>
      </c>
      <c r="G374" s="1" t="s">
        <v>373</v>
      </c>
    </row>
    <row r="375" spans="1:8" x14ac:dyDescent="0.2">
      <c r="E375" s="1" t="s">
        <v>380</v>
      </c>
      <c r="G375" s="1" t="s">
        <v>374</v>
      </c>
    </row>
    <row r="376" spans="1:8" x14ac:dyDescent="0.2">
      <c r="E376" s="1" t="s">
        <v>381</v>
      </c>
      <c r="G376" s="1" t="s">
        <v>375</v>
      </c>
    </row>
    <row r="377" spans="1:8" x14ac:dyDescent="0.2">
      <c r="E377" s="1" t="s">
        <v>382</v>
      </c>
      <c r="G377" s="1" t="s">
        <v>376</v>
      </c>
    </row>
    <row r="378" spans="1:8" x14ac:dyDescent="0.2">
      <c r="E378" s="1" t="s">
        <v>383</v>
      </c>
    </row>
    <row r="379" spans="1:8" x14ac:dyDescent="0.2">
      <c r="E379" s="1" t="s">
        <v>384</v>
      </c>
    </row>
    <row r="384" spans="1:8" x14ac:dyDescent="0.2">
      <c r="A384" s="6" t="s">
        <v>45</v>
      </c>
      <c r="B384" s="5"/>
      <c r="C384" s="5"/>
      <c r="D384" s="5"/>
      <c r="E384" s="55" t="s">
        <v>339</v>
      </c>
      <c r="F384" s="5"/>
      <c r="G384" s="5"/>
      <c r="H384" s="5">
        <v>1.6</v>
      </c>
    </row>
    <row r="386" spans="1:1" x14ac:dyDescent="0.2">
      <c r="A386" s="1" t="s">
        <v>46</v>
      </c>
    </row>
    <row r="387" spans="1:1" x14ac:dyDescent="0.2">
      <c r="A387" s="1" t="s">
        <v>47</v>
      </c>
    </row>
    <row r="388" spans="1:1" x14ac:dyDescent="0.2">
      <c r="A388" s="1" t="s">
        <v>48</v>
      </c>
    </row>
    <row r="389" spans="1:1" x14ac:dyDescent="0.2">
      <c r="A389" s="1" t="s">
        <v>49</v>
      </c>
    </row>
    <row r="391" spans="1:1" x14ac:dyDescent="0.2">
      <c r="A391" s="1" t="s">
        <v>146</v>
      </c>
    </row>
    <row r="393" spans="1:1" x14ac:dyDescent="0.2">
      <c r="A393" s="1" t="s">
        <v>322</v>
      </c>
    </row>
    <row r="394" spans="1:1" x14ac:dyDescent="0.2">
      <c r="A394" s="1" t="s">
        <v>323</v>
      </c>
    </row>
    <row r="395" spans="1:1" x14ac:dyDescent="0.2">
      <c r="A395" s="1" t="s">
        <v>324</v>
      </c>
    </row>
    <row r="396" spans="1:1" x14ac:dyDescent="0.2">
      <c r="A396" s="1" t="s">
        <v>325</v>
      </c>
    </row>
    <row r="398" spans="1:1" x14ac:dyDescent="0.2">
      <c r="A398" s="1" t="s">
        <v>326</v>
      </c>
    </row>
    <row r="399" spans="1:1" x14ac:dyDescent="0.2">
      <c r="A399" s="1" t="s">
        <v>327</v>
      </c>
    </row>
    <row r="400" spans="1:1" x14ac:dyDescent="0.2">
      <c r="A400" s="1" t="s">
        <v>328</v>
      </c>
    </row>
    <row r="401" spans="1:8" x14ac:dyDescent="0.2">
      <c r="A401" s="1" t="s">
        <v>329</v>
      </c>
    </row>
    <row r="402" spans="1:8" x14ac:dyDescent="0.2">
      <c r="E402" s="20">
        <v>10</v>
      </c>
      <c r="F402" s="20">
        <v>15</v>
      </c>
    </row>
    <row r="403" spans="1:8" x14ac:dyDescent="0.2">
      <c r="A403" s="1" t="s">
        <v>332</v>
      </c>
      <c r="E403" s="27" t="s">
        <v>331</v>
      </c>
      <c r="F403" s="27" t="s">
        <v>330</v>
      </c>
      <c r="G403" s="10" t="s">
        <v>60</v>
      </c>
    </row>
    <row r="404" spans="1:8" x14ac:dyDescent="0.2">
      <c r="A404" s="1" t="s">
        <v>333</v>
      </c>
      <c r="E404" s="20" t="s">
        <v>75</v>
      </c>
      <c r="F404" s="20" t="s">
        <v>75</v>
      </c>
      <c r="G404" s="1" t="s">
        <v>111</v>
      </c>
    </row>
    <row r="405" spans="1:8" x14ac:dyDescent="0.2">
      <c r="E405" s="20">
        <v>10</v>
      </c>
      <c r="F405" s="20">
        <v>15</v>
      </c>
      <c r="G405" s="1" t="s">
        <v>62</v>
      </c>
    </row>
    <row r="406" spans="1:8" x14ac:dyDescent="0.2">
      <c r="E406" s="20">
        <v>10</v>
      </c>
      <c r="F406" s="20">
        <v>10</v>
      </c>
      <c r="G406" s="1" t="s">
        <v>63</v>
      </c>
    </row>
    <row r="407" spans="1:8" x14ac:dyDescent="0.2">
      <c r="E407" s="54">
        <f>PV(E406/100,E405,E408,E409)</f>
        <v>-163945.96288943914</v>
      </c>
      <c r="F407" s="50">
        <f>PV(F406/100,F405,F408,F409)</f>
        <v>-106485.11308831713</v>
      </c>
      <c r="G407" s="1" t="s">
        <v>64</v>
      </c>
      <c r="H407" s="1" t="s">
        <v>77</v>
      </c>
    </row>
    <row r="408" spans="1:8" x14ac:dyDescent="0.2">
      <c r="E408" s="20">
        <v>20000</v>
      </c>
      <c r="F408" s="24">
        <v>14000</v>
      </c>
      <c r="G408" s="1" t="s">
        <v>65</v>
      </c>
    </row>
    <row r="409" spans="1:8" x14ac:dyDescent="0.2">
      <c r="E409" s="30">
        <f>-F407</f>
        <v>106485.11308831713</v>
      </c>
      <c r="F409" s="20">
        <v>0</v>
      </c>
      <c r="G409" s="1" t="s">
        <v>66</v>
      </c>
    </row>
    <row r="411" spans="1:8" x14ac:dyDescent="0.2">
      <c r="A411" s="1" t="s">
        <v>334</v>
      </c>
      <c r="F411" s="20" t="s">
        <v>335</v>
      </c>
    </row>
    <row r="412" spans="1:8" x14ac:dyDescent="0.2">
      <c r="A412" s="1" t="s">
        <v>338</v>
      </c>
      <c r="F412" s="27">
        <v>10</v>
      </c>
      <c r="G412" s="10" t="s">
        <v>60</v>
      </c>
    </row>
    <row r="413" spans="1:8" x14ac:dyDescent="0.2">
      <c r="A413" s="1" t="s">
        <v>336</v>
      </c>
      <c r="F413" s="20" t="s">
        <v>75</v>
      </c>
      <c r="G413" s="1" t="s">
        <v>111</v>
      </c>
    </row>
    <row r="414" spans="1:8" x14ac:dyDescent="0.2">
      <c r="F414" s="20">
        <v>10</v>
      </c>
      <c r="G414" s="1" t="s">
        <v>62</v>
      </c>
    </row>
    <row r="415" spans="1:8" x14ac:dyDescent="0.2">
      <c r="F415" s="20">
        <v>10</v>
      </c>
      <c r="G415" s="1" t="s">
        <v>63</v>
      </c>
    </row>
    <row r="416" spans="1:8" x14ac:dyDescent="0.2">
      <c r="A416" s="1" t="s">
        <v>337</v>
      </c>
      <c r="F416" s="54">
        <f>PV(F415/100,F414,F417,F418)</f>
        <v>-154217.3157718126</v>
      </c>
      <c r="G416" s="1" t="s">
        <v>64</v>
      </c>
      <c r="H416" s="1" t="s">
        <v>77</v>
      </c>
    </row>
    <row r="417" spans="6:7" x14ac:dyDescent="0.2">
      <c r="F417" s="24">
        <v>0</v>
      </c>
      <c r="G417" s="1" t="s">
        <v>65</v>
      </c>
    </row>
    <row r="418" spans="6:7" x14ac:dyDescent="0.2">
      <c r="F418" s="20">
        <v>400000</v>
      </c>
      <c r="G418" s="1" t="s">
        <v>66</v>
      </c>
    </row>
  </sheetData>
  <mergeCells count="5">
    <mergeCell ref="A1:H1"/>
    <mergeCell ref="D200:D201"/>
    <mergeCell ref="E325:E326"/>
    <mergeCell ref="C368:C369"/>
    <mergeCell ref="F98:G98"/>
  </mergeCells>
  <pageMargins left="0.7" right="0.7" top="0.75" bottom="0.75" header="0.3" footer="0.3"/>
  <ignoredErrors>
    <ignoredError sqref="H100" formulaRange="1"/>
  </ignoredErrors>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1ED621-073A-6449-B08E-14A9037AE4A4}">
  <dimension ref="A1:R790"/>
  <sheetViews>
    <sheetView rightToLeft="1" topLeftCell="A773" zoomScale="269" zoomScaleNormal="270" workbookViewId="0">
      <selection activeCell="C765" sqref="C765"/>
    </sheetView>
  </sheetViews>
  <sheetFormatPr baseColWidth="10" defaultRowHeight="16" x14ac:dyDescent="0.2"/>
  <cols>
    <col min="1" max="2" width="10.83203125" style="1"/>
    <col min="3" max="3" width="10.6640625" style="1" customWidth="1"/>
    <col min="4" max="4" width="9.6640625" style="1" customWidth="1"/>
    <col min="5" max="5" width="10.83203125" style="1"/>
    <col min="6" max="6" width="10.6640625" style="1" customWidth="1"/>
    <col min="7" max="16384" width="10.83203125" style="1"/>
  </cols>
  <sheetData>
    <row r="1" spans="1:8" x14ac:dyDescent="0.2">
      <c r="A1" s="477" t="s">
        <v>1470</v>
      </c>
      <c r="B1" s="477"/>
      <c r="C1" s="477"/>
      <c r="D1" s="477"/>
      <c r="E1" s="477"/>
      <c r="F1" s="477"/>
      <c r="G1" s="477"/>
      <c r="H1" s="477"/>
    </row>
    <row r="14" spans="1:8" x14ac:dyDescent="0.2">
      <c r="A14" s="18" t="s">
        <v>146</v>
      </c>
    </row>
    <row r="15" spans="1:8" x14ac:dyDescent="0.2">
      <c r="A15" s="18"/>
    </row>
    <row r="16" spans="1:8" x14ac:dyDescent="0.2">
      <c r="A16" s="18" t="s">
        <v>2828</v>
      </c>
    </row>
    <row r="17" spans="1:10" x14ac:dyDescent="0.2">
      <c r="A17" s="18" t="s">
        <v>2829</v>
      </c>
    </row>
    <row r="18" spans="1:10" x14ac:dyDescent="0.2">
      <c r="A18" s="18"/>
    </row>
    <row r="19" spans="1:10" x14ac:dyDescent="0.2">
      <c r="A19" s="18" t="s">
        <v>2830</v>
      </c>
    </row>
    <row r="20" spans="1:10" x14ac:dyDescent="0.2">
      <c r="A20" s="18" t="s">
        <v>2831</v>
      </c>
    </row>
    <row r="21" spans="1:10" x14ac:dyDescent="0.2">
      <c r="A21" s="18"/>
      <c r="D21" s="1" t="s">
        <v>2832</v>
      </c>
      <c r="E21" s="1" t="s">
        <v>2833</v>
      </c>
      <c r="G21" s="1" t="s">
        <v>2591</v>
      </c>
    </row>
    <row r="22" spans="1:10" x14ac:dyDescent="0.2">
      <c r="A22" s="18"/>
      <c r="B22" s="1" t="s">
        <v>2835</v>
      </c>
      <c r="D22" s="1" t="s">
        <v>2834</v>
      </c>
      <c r="E22" s="1" t="s">
        <v>2833</v>
      </c>
      <c r="G22" s="1" t="s">
        <v>2592</v>
      </c>
      <c r="H22" s="1" t="s">
        <v>2836</v>
      </c>
    </row>
    <row r="23" spans="1:10" x14ac:dyDescent="0.2">
      <c r="A23" s="18"/>
    </row>
    <row r="24" spans="1:10" x14ac:dyDescent="0.2">
      <c r="A24" s="18"/>
    </row>
    <row r="25" spans="1:10" x14ac:dyDescent="0.2">
      <c r="A25" s="10" t="s">
        <v>2571</v>
      </c>
      <c r="B25" s="27" t="s">
        <v>2572</v>
      </c>
      <c r="C25" s="10" t="s">
        <v>2573</v>
      </c>
      <c r="D25" s="10"/>
      <c r="E25" s="10"/>
      <c r="F25" s="10"/>
      <c r="G25" s="10"/>
      <c r="H25" s="10" t="s">
        <v>2575</v>
      </c>
      <c r="I25" s="10"/>
      <c r="J25" s="10"/>
    </row>
    <row r="26" spans="1:10" x14ac:dyDescent="0.2">
      <c r="A26" s="1" t="s">
        <v>2200</v>
      </c>
      <c r="B26" s="20" t="s">
        <v>1039</v>
      </c>
      <c r="C26" s="1" t="s">
        <v>2574</v>
      </c>
      <c r="H26" s="1" t="s">
        <v>2576</v>
      </c>
    </row>
    <row r="27" spans="1:10" x14ac:dyDescent="0.2">
      <c r="H27" s="5" t="s">
        <v>2577</v>
      </c>
      <c r="I27" s="5"/>
    </row>
    <row r="28" spans="1:10" x14ac:dyDescent="0.2">
      <c r="A28" s="1" t="s">
        <v>2578</v>
      </c>
      <c r="B28" s="20" t="s">
        <v>1040</v>
      </c>
      <c r="C28" s="1" t="s">
        <v>2579</v>
      </c>
      <c r="H28" s="1" t="s">
        <v>2582</v>
      </c>
    </row>
    <row r="29" spans="1:10" x14ac:dyDescent="0.2">
      <c r="C29" s="1" t="s">
        <v>2580</v>
      </c>
      <c r="H29" s="5" t="s">
        <v>2583</v>
      </c>
      <c r="I29" s="5"/>
    </row>
    <row r="30" spans="1:10" x14ac:dyDescent="0.2">
      <c r="C30" s="1" t="s">
        <v>2581</v>
      </c>
    </row>
    <row r="32" spans="1:10" x14ac:dyDescent="0.2">
      <c r="A32" s="18" t="s">
        <v>2584</v>
      </c>
    </row>
    <row r="34" spans="2:8" x14ac:dyDescent="0.2">
      <c r="B34" s="1" t="s">
        <v>2412</v>
      </c>
      <c r="C34" s="20" t="s">
        <v>2589</v>
      </c>
    </row>
    <row r="35" spans="2:8" x14ac:dyDescent="0.2">
      <c r="B35" s="1" t="s">
        <v>2590</v>
      </c>
      <c r="H35" s="1" t="s">
        <v>2592</v>
      </c>
    </row>
    <row r="37" spans="2:8" x14ac:dyDescent="0.2">
      <c r="B37" s="1" t="s">
        <v>2593</v>
      </c>
    </row>
    <row r="38" spans="2:8" x14ac:dyDescent="0.2">
      <c r="B38" s="1" t="s">
        <v>2596</v>
      </c>
    </row>
    <row r="40" spans="2:8" x14ac:dyDescent="0.2">
      <c r="B40" s="1" t="s">
        <v>2595</v>
      </c>
    </row>
    <row r="41" spans="2:8" x14ac:dyDescent="0.2">
      <c r="B41" s="1" t="s">
        <v>2594</v>
      </c>
    </row>
    <row r="43" spans="2:8" x14ac:dyDescent="0.2">
      <c r="B43" s="1" t="s">
        <v>2597</v>
      </c>
    </row>
    <row r="45" spans="2:8" x14ac:dyDescent="0.2">
      <c r="C45" s="1" t="s">
        <v>2598</v>
      </c>
    </row>
    <row r="46" spans="2:8" x14ac:dyDescent="0.2">
      <c r="E46" s="20" t="s">
        <v>739</v>
      </c>
      <c r="F46" s="20" t="s">
        <v>740</v>
      </c>
    </row>
    <row r="47" spans="2:8" x14ac:dyDescent="0.2">
      <c r="E47" s="20">
        <v>0</v>
      </c>
      <c r="F47" s="20">
        <v>-100</v>
      </c>
      <c r="G47" s="1" t="s">
        <v>2601</v>
      </c>
    </row>
    <row r="48" spans="2:8" x14ac:dyDescent="0.2">
      <c r="E48" s="20">
        <v>1</v>
      </c>
      <c r="F48" s="20">
        <v>0</v>
      </c>
    </row>
    <row r="49" spans="1:7" x14ac:dyDescent="0.2">
      <c r="E49" s="20">
        <v>2</v>
      </c>
      <c r="F49" s="20">
        <v>0</v>
      </c>
    </row>
    <row r="50" spans="1:7" x14ac:dyDescent="0.2">
      <c r="E50" s="20">
        <v>3</v>
      </c>
      <c r="F50" s="20">
        <v>0</v>
      </c>
      <c r="G50" s="1" t="s">
        <v>2599</v>
      </c>
    </row>
    <row r="51" spans="1:7" x14ac:dyDescent="0.2">
      <c r="E51" s="20">
        <v>4</v>
      </c>
      <c r="F51" s="20">
        <v>0</v>
      </c>
      <c r="G51" s="1" t="s">
        <v>2600</v>
      </c>
    </row>
    <row r="52" spans="1:7" x14ac:dyDescent="0.2">
      <c r="E52" s="20">
        <v>5</v>
      </c>
      <c r="F52" s="20">
        <v>105</v>
      </c>
    </row>
    <row r="53" spans="1:7" x14ac:dyDescent="0.2">
      <c r="E53" s="20"/>
      <c r="F53" s="20"/>
      <c r="G53" s="1" t="s">
        <v>2602</v>
      </c>
    </row>
    <row r="54" spans="1:7" x14ac:dyDescent="0.2">
      <c r="E54" s="20"/>
      <c r="F54" s="20"/>
      <c r="G54" s="1" t="s">
        <v>2603</v>
      </c>
    </row>
    <row r="55" spans="1:7" x14ac:dyDescent="0.2">
      <c r="E55" s="20"/>
      <c r="F55" s="20"/>
    </row>
    <row r="56" spans="1:7" x14ac:dyDescent="0.2">
      <c r="E56" s="20" t="s">
        <v>1039</v>
      </c>
      <c r="F56" s="30">
        <f>NPV(10%,F48:F52)+F47</f>
        <v>-34.803261078788736</v>
      </c>
      <c r="G56" s="1" t="s">
        <v>2604</v>
      </c>
    </row>
    <row r="58" spans="1:7" x14ac:dyDescent="0.2">
      <c r="B58" s="1" t="s">
        <v>2605</v>
      </c>
    </row>
    <row r="59" spans="1:7" x14ac:dyDescent="0.2">
      <c r="B59" s="1" t="s">
        <v>2606</v>
      </c>
    </row>
    <row r="61" spans="1:7" x14ac:dyDescent="0.2">
      <c r="A61" s="1" t="s">
        <v>2588</v>
      </c>
    </row>
    <row r="62" spans="1:7" x14ac:dyDescent="0.2">
      <c r="A62" s="1" t="s">
        <v>2585</v>
      </c>
    </row>
    <row r="63" spans="1:7" x14ac:dyDescent="0.2">
      <c r="B63" s="1" t="s">
        <v>2586</v>
      </c>
    </row>
    <row r="64" spans="1:7" x14ac:dyDescent="0.2">
      <c r="B64" s="1" t="s">
        <v>2587</v>
      </c>
    </row>
    <row r="81" spans="1:8" x14ac:dyDescent="0.2">
      <c r="A81" s="1" t="s">
        <v>146</v>
      </c>
    </row>
    <row r="83" spans="1:8" x14ac:dyDescent="0.2">
      <c r="A83" s="1" t="s">
        <v>2607</v>
      </c>
    </row>
    <row r="84" spans="1:8" x14ac:dyDescent="0.2">
      <c r="A84" s="1" t="s">
        <v>2608</v>
      </c>
    </row>
    <row r="85" spans="1:8" x14ac:dyDescent="0.2">
      <c r="A85" s="1" t="s">
        <v>2609</v>
      </c>
    </row>
    <row r="87" spans="1:8" x14ac:dyDescent="0.2">
      <c r="A87" s="1" t="s">
        <v>2610</v>
      </c>
    </row>
    <row r="88" spans="1:8" x14ac:dyDescent="0.2">
      <c r="E88" s="1">
        <v>0</v>
      </c>
      <c r="F88" s="1" t="s">
        <v>2611</v>
      </c>
    </row>
    <row r="89" spans="1:8" x14ac:dyDescent="0.2">
      <c r="E89" s="1">
        <v>-10000</v>
      </c>
      <c r="F89" s="1">
        <v>1100</v>
      </c>
    </row>
    <row r="91" spans="1:8" x14ac:dyDescent="0.2">
      <c r="A91" s="1" t="s">
        <v>2612</v>
      </c>
    </row>
    <row r="92" spans="1:8" x14ac:dyDescent="0.2">
      <c r="A92" s="1" t="s">
        <v>2613</v>
      </c>
    </row>
    <row r="93" spans="1:8" x14ac:dyDescent="0.2">
      <c r="G93" s="1" t="s">
        <v>2621</v>
      </c>
      <c r="H93" s="1" t="s">
        <v>60</v>
      </c>
    </row>
    <row r="94" spans="1:8" x14ac:dyDescent="0.2">
      <c r="A94" s="1" t="s">
        <v>2620</v>
      </c>
      <c r="G94" s="20" t="s">
        <v>75</v>
      </c>
      <c r="H94" s="1" t="s">
        <v>111</v>
      </c>
    </row>
    <row r="95" spans="1:8" x14ac:dyDescent="0.2">
      <c r="G95" s="20">
        <v>999999</v>
      </c>
      <c r="H95" s="1" t="s">
        <v>62</v>
      </c>
    </row>
    <row r="96" spans="1:8" x14ac:dyDescent="0.2">
      <c r="E96" s="1" t="s">
        <v>2622</v>
      </c>
      <c r="G96" s="20">
        <v>10</v>
      </c>
      <c r="H96" s="1" t="s">
        <v>63</v>
      </c>
    </row>
    <row r="97" spans="1:9" x14ac:dyDescent="0.2">
      <c r="B97" s="67">
        <v>11000</v>
      </c>
      <c r="C97" s="1" t="s">
        <v>2624</v>
      </c>
      <c r="E97" s="1" t="s">
        <v>2623</v>
      </c>
      <c r="G97" s="69">
        <f>-1100/0.1</f>
        <v>-11000</v>
      </c>
      <c r="H97" s="1" t="s">
        <v>64</v>
      </c>
      <c r="I97" s="1" t="s">
        <v>227</v>
      </c>
    </row>
    <row r="98" spans="1:9" x14ac:dyDescent="0.2">
      <c r="G98" s="20">
        <v>1100</v>
      </c>
      <c r="H98" s="1" t="s">
        <v>65</v>
      </c>
    </row>
    <row r="99" spans="1:9" x14ac:dyDescent="0.2">
      <c r="G99" s="20">
        <v>0</v>
      </c>
      <c r="H99" s="1" t="s">
        <v>66</v>
      </c>
    </row>
    <row r="101" spans="1:9" x14ac:dyDescent="0.2">
      <c r="A101" s="1" t="s">
        <v>2614</v>
      </c>
    </row>
    <row r="102" spans="1:9" x14ac:dyDescent="0.2">
      <c r="A102" s="1" t="s">
        <v>2615</v>
      </c>
    </row>
    <row r="104" spans="1:9" x14ac:dyDescent="0.2">
      <c r="C104" s="1" t="s">
        <v>2616</v>
      </c>
      <c r="F104" s="1">
        <f>-G97</f>
        <v>11000</v>
      </c>
    </row>
    <row r="105" spans="1:9" x14ac:dyDescent="0.2">
      <c r="C105" s="1" t="s">
        <v>2617</v>
      </c>
      <c r="F105" s="1">
        <f>E89</f>
        <v>-10000</v>
      </c>
    </row>
    <row r="106" spans="1:9" x14ac:dyDescent="0.2">
      <c r="C106" s="1" t="s">
        <v>2618</v>
      </c>
      <c r="F106" s="1">
        <f>F104+F105</f>
        <v>1000</v>
      </c>
      <c r="H106" s="1" t="s">
        <v>2619</v>
      </c>
    </row>
    <row r="108" spans="1:9" x14ac:dyDescent="0.2">
      <c r="A108" s="18" t="s">
        <v>2625</v>
      </c>
    </row>
    <row r="109" spans="1:9" x14ac:dyDescent="0.2">
      <c r="H109" s="1" t="s">
        <v>2626</v>
      </c>
    </row>
    <row r="111" spans="1:9" x14ac:dyDescent="0.2">
      <c r="A111" s="1" t="s">
        <v>2627</v>
      </c>
    </row>
    <row r="112" spans="1:9" x14ac:dyDescent="0.2">
      <c r="A112" s="1" t="s">
        <v>2628</v>
      </c>
    </row>
    <row r="113" spans="1:8" x14ac:dyDescent="0.2">
      <c r="A113" s="1" t="s">
        <v>2629</v>
      </c>
    </row>
    <row r="114" spans="1:8" x14ac:dyDescent="0.2">
      <c r="A114" s="1" t="s">
        <v>2630</v>
      </c>
    </row>
    <row r="116" spans="1:8" x14ac:dyDescent="0.2">
      <c r="A116" s="1" t="s">
        <v>2631</v>
      </c>
    </row>
    <row r="118" spans="1:8" x14ac:dyDescent="0.2">
      <c r="A118" s="1" t="s">
        <v>2632</v>
      </c>
    </row>
    <row r="119" spans="1:8" x14ac:dyDescent="0.2">
      <c r="A119" s="1" t="s">
        <v>2633</v>
      </c>
    </row>
    <row r="121" spans="1:8" x14ac:dyDescent="0.2">
      <c r="A121" s="1" t="s">
        <v>2634</v>
      </c>
    </row>
    <row r="124" spans="1:8" x14ac:dyDescent="0.2">
      <c r="A124" s="175" t="s">
        <v>930</v>
      </c>
      <c r="B124" s="174"/>
      <c r="C124" s="174"/>
      <c r="D124" s="174"/>
      <c r="E124" s="174"/>
      <c r="F124" s="174"/>
      <c r="G124" s="174"/>
      <c r="H124" s="174"/>
    </row>
    <row r="126" spans="1:8" x14ac:dyDescent="0.2">
      <c r="A126" s="1" t="s">
        <v>1471</v>
      </c>
    </row>
    <row r="127" spans="1:8" x14ac:dyDescent="0.2">
      <c r="A127" s="1" t="s">
        <v>1472</v>
      </c>
      <c r="C127" s="3">
        <v>120000</v>
      </c>
    </row>
    <row r="128" spans="1:8" x14ac:dyDescent="0.2">
      <c r="A128" s="1" t="s">
        <v>1473</v>
      </c>
      <c r="C128" s="1">
        <v>8</v>
      </c>
    </row>
    <row r="129" spans="1:11" x14ac:dyDescent="0.2">
      <c r="A129" s="1" t="s">
        <v>1474</v>
      </c>
      <c r="C129" s="3">
        <v>30000</v>
      </c>
      <c r="D129" s="1" t="s">
        <v>1475</v>
      </c>
    </row>
    <row r="130" spans="1:11" x14ac:dyDescent="0.2">
      <c r="A130" s="1" t="s">
        <v>1476</v>
      </c>
      <c r="C130" s="37">
        <v>0.25</v>
      </c>
    </row>
    <row r="131" spans="1:11" x14ac:dyDescent="0.2">
      <c r="A131" s="1" t="s">
        <v>1477</v>
      </c>
      <c r="C131" s="1">
        <v>8</v>
      </c>
      <c r="D131" s="1" t="s">
        <v>489</v>
      </c>
    </row>
    <row r="132" spans="1:11" x14ac:dyDescent="0.2">
      <c r="A132" s="1" t="s">
        <v>1478</v>
      </c>
      <c r="C132" s="37">
        <v>7.0000000000000007E-2</v>
      </c>
    </row>
    <row r="135" spans="1:11" x14ac:dyDescent="0.2">
      <c r="A135" s="1" t="s">
        <v>146</v>
      </c>
    </row>
    <row r="137" spans="1:11" x14ac:dyDescent="0.2">
      <c r="C137" s="20" t="s">
        <v>739</v>
      </c>
      <c r="D137" s="20"/>
    </row>
    <row r="138" spans="1:11" x14ac:dyDescent="0.2">
      <c r="A138" s="10" t="s">
        <v>897</v>
      </c>
      <c r="B138" s="10"/>
      <c r="C138" s="27">
        <v>0</v>
      </c>
      <c r="D138" s="27">
        <v>1</v>
      </c>
      <c r="E138" s="27">
        <v>2</v>
      </c>
      <c r="F138" s="27">
        <v>3</v>
      </c>
      <c r="G138" s="27">
        <v>4</v>
      </c>
      <c r="H138" s="27">
        <v>5</v>
      </c>
      <c r="I138" s="27">
        <v>6</v>
      </c>
      <c r="J138" s="27">
        <v>7</v>
      </c>
      <c r="K138" s="27">
        <v>8</v>
      </c>
    </row>
    <row r="139" spans="1:11" x14ac:dyDescent="0.2">
      <c r="A139" s="1" t="s">
        <v>898</v>
      </c>
      <c r="C139" s="20"/>
      <c r="D139" s="101">
        <v>30000</v>
      </c>
      <c r="E139" s="101">
        <f t="shared" ref="E139:K139" si="0">D139</f>
        <v>30000</v>
      </c>
      <c r="F139" s="101">
        <f t="shared" si="0"/>
        <v>30000</v>
      </c>
      <c r="G139" s="101">
        <f t="shared" si="0"/>
        <v>30000</v>
      </c>
      <c r="H139" s="101">
        <f t="shared" si="0"/>
        <v>30000</v>
      </c>
      <c r="I139" s="101">
        <f t="shared" si="0"/>
        <v>30000</v>
      </c>
      <c r="J139" s="101">
        <f t="shared" si="0"/>
        <v>30000</v>
      </c>
      <c r="K139" s="101">
        <f t="shared" si="0"/>
        <v>30000</v>
      </c>
    </row>
    <row r="140" spans="1:11" x14ac:dyDescent="0.2">
      <c r="A140" s="1" t="s">
        <v>973</v>
      </c>
      <c r="C140" s="20"/>
      <c r="D140" s="20">
        <v>0</v>
      </c>
      <c r="E140" s="20">
        <v>0</v>
      </c>
      <c r="F140" s="20">
        <v>0</v>
      </c>
      <c r="G140" s="20">
        <v>0</v>
      </c>
      <c r="H140" s="20">
        <v>0</v>
      </c>
      <c r="I140" s="20">
        <v>0</v>
      </c>
      <c r="J140" s="20">
        <v>0</v>
      </c>
      <c r="K140" s="20">
        <v>0</v>
      </c>
    </row>
    <row r="141" spans="1:11" x14ac:dyDescent="0.2">
      <c r="A141" s="1" t="s">
        <v>975</v>
      </c>
      <c r="C141" s="20"/>
      <c r="D141" s="102">
        <f>C145/8</f>
        <v>-15000</v>
      </c>
      <c r="E141" s="102">
        <f t="shared" ref="E141:K141" si="1">D141</f>
        <v>-15000</v>
      </c>
      <c r="F141" s="102">
        <f t="shared" si="1"/>
        <v>-15000</v>
      </c>
      <c r="G141" s="102">
        <f t="shared" si="1"/>
        <v>-15000</v>
      </c>
      <c r="H141" s="102">
        <f t="shared" si="1"/>
        <v>-15000</v>
      </c>
      <c r="I141" s="102">
        <f t="shared" si="1"/>
        <v>-15000</v>
      </c>
      <c r="J141" s="102">
        <f t="shared" si="1"/>
        <v>-15000</v>
      </c>
      <c r="K141" s="102">
        <f t="shared" si="1"/>
        <v>-15000</v>
      </c>
    </row>
    <row r="142" spans="1:11" x14ac:dyDescent="0.2">
      <c r="A142" s="1" t="s">
        <v>901</v>
      </c>
      <c r="C142" s="20"/>
      <c r="D142" s="104">
        <f t="shared" ref="D142:K142" si="2">SUM(D139:D141)</f>
        <v>15000</v>
      </c>
      <c r="E142" s="104">
        <f t="shared" si="2"/>
        <v>15000</v>
      </c>
      <c r="F142" s="104">
        <f t="shared" si="2"/>
        <v>15000</v>
      </c>
      <c r="G142" s="104">
        <f t="shared" si="2"/>
        <v>15000</v>
      </c>
      <c r="H142" s="104">
        <f t="shared" si="2"/>
        <v>15000</v>
      </c>
      <c r="I142" s="104">
        <f t="shared" si="2"/>
        <v>15000</v>
      </c>
      <c r="J142" s="104">
        <f t="shared" si="2"/>
        <v>15000</v>
      </c>
      <c r="K142" s="104">
        <f t="shared" si="2"/>
        <v>15000</v>
      </c>
    </row>
    <row r="143" spans="1:11" x14ac:dyDescent="0.2">
      <c r="A143" s="1" t="s">
        <v>1479</v>
      </c>
      <c r="C143" s="20"/>
      <c r="D143" s="102">
        <f>-25%*D142</f>
        <v>-3750</v>
      </c>
      <c r="E143" s="102">
        <f t="shared" ref="E143:K143" si="3">-25%*E142</f>
        <v>-3750</v>
      </c>
      <c r="F143" s="102">
        <f t="shared" si="3"/>
        <v>-3750</v>
      </c>
      <c r="G143" s="102">
        <f t="shared" si="3"/>
        <v>-3750</v>
      </c>
      <c r="H143" s="102">
        <f t="shared" si="3"/>
        <v>-3750</v>
      </c>
      <c r="I143" s="102">
        <f t="shared" si="3"/>
        <v>-3750</v>
      </c>
      <c r="J143" s="102">
        <f t="shared" si="3"/>
        <v>-3750</v>
      </c>
      <c r="K143" s="102">
        <f t="shared" si="3"/>
        <v>-3750</v>
      </c>
    </row>
    <row r="144" spans="1:11" x14ac:dyDescent="0.2">
      <c r="A144" s="1" t="s">
        <v>977</v>
      </c>
      <c r="C144" s="20"/>
      <c r="D144" s="104">
        <f>D142+D143</f>
        <v>11250</v>
      </c>
      <c r="E144" s="104">
        <f>E142+E143</f>
        <v>11250</v>
      </c>
      <c r="F144" s="104">
        <f>F142+F143</f>
        <v>11250</v>
      </c>
      <c r="G144" s="104">
        <f>G142+G143</f>
        <v>11250</v>
      </c>
      <c r="H144" s="104">
        <f t="shared" ref="H144:K144" si="4">H142+H143</f>
        <v>11250</v>
      </c>
      <c r="I144" s="104">
        <f t="shared" si="4"/>
        <v>11250</v>
      </c>
      <c r="J144" s="104">
        <f t="shared" si="4"/>
        <v>11250</v>
      </c>
      <c r="K144" s="104">
        <f t="shared" si="4"/>
        <v>11250</v>
      </c>
    </row>
    <row r="145" spans="1:11" x14ac:dyDescent="0.2">
      <c r="A145" s="1" t="s">
        <v>903</v>
      </c>
      <c r="C145" s="107">
        <v>-120000</v>
      </c>
      <c r="D145" s="20"/>
      <c r="E145" s="20"/>
      <c r="F145" s="20"/>
      <c r="G145" s="20"/>
      <c r="H145" s="20"/>
      <c r="I145" s="20"/>
      <c r="J145" s="20"/>
      <c r="K145" s="20"/>
    </row>
    <row r="146" spans="1:11" x14ac:dyDescent="0.2">
      <c r="A146" s="1" t="s">
        <v>981</v>
      </c>
      <c r="C146" s="20"/>
      <c r="D146" s="20"/>
      <c r="E146" s="20"/>
      <c r="F146" s="20"/>
      <c r="G146" s="24"/>
      <c r="H146" s="24"/>
      <c r="I146" s="24"/>
      <c r="J146" s="24"/>
      <c r="K146" s="24">
        <v>0</v>
      </c>
    </row>
    <row r="147" spans="1:11" x14ac:dyDescent="0.2">
      <c r="A147" s="1" t="s">
        <v>904</v>
      </c>
      <c r="C147" s="20"/>
      <c r="D147" s="101">
        <f>-D141</f>
        <v>15000</v>
      </c>
      <c r="E147" s="101">
        <f>-E141</f>
        <v>15000</v>
      </c>
      <c r="F147" s="101">
        <f>-F141</f>
        <v>15000</v>
      </c>
      <c r="G147" s="101">
        <f>-G141</f>
        <v>15000</v>
      </c>
      <c r="H147" s="101">
        <f t="shared" ref="H147:K147" si="5">-H141</f>
        <v>15000</v>
      </c>
      <c r="I147" s="101">
        <f t="shared" si="5"/>
        <v>15000</v>
      </c>
      <c r="J147" s="101">
        <f t="shared" si="5"/>
        <v>15000</v>
      </c>
      <c r="K147" s="101">
        <f t="shared" si="5"/>
        <v>15000</v>
      </c>
    </row>
    <row r="148" spans="1:11" x14ac:dyDescent="0.2">
      <c r="A148" s="18" t="s">
        <v>905</v>
      </c>
      <c r="B148" s="18"/>
      <c r="C148" s="106">
        <f>SUM(C144:C147)</f>
        <v>-120000</v>
      </c>
      <c r="D148" s="106">
        <f>SUM(D144:D147)</f>
        <v>26250</v>
      </c>
      <c r="E148" s="106">
        <f>SUM(E144:E147)</f>
        <v>26250</v>
      </c>
      <c r="F148" s="106">
        <f>SUM(F144:F147)</f>
        <v>26250</v>
      </c>
      <c r="G148" s="106">
        <f>SUM(G144:G147)</f>
        <v>26250</v>
      </c>
      <c r="H148" s="106">
        <f t="shared" ref="H148:K148" si="6">SUM(H144:H147)</f>
        <v>26250</v>
      </c>
      <c r="I148" s="106">
        <f t="shared" si="6"/>
        <v>26250</v>
      </c>
      <c r="J148" s="106">
        <f t="shared" si="6"/>
        <v>26250</v>
      </c>
      <c r="K148" s="106">
        <f t="shared" si="6"/>
        <v>26250</v>
      </c>
    </row>
    <row r="149" spans="1:11" ht="17" thickBot="1" x14ac:dyDescent="0.25"/>
    <row r="150" spans="1:11" x14ac:dyDescent="0.2">
      <c r="A150" s="1" t="s">
        <v>1480</v>
      </c>
      <c r="C150" s="176">
        <f>NPV(7%,D148:K148)+C148</f>
        <v>36746.585788110533</v>
      </c>
      <c r="I150" s="12" t="s">
        <v>1710</v>
      </c>
      <c r="J150" s="13"/>
      <c r="K150" s="14"/>
    </row>
    <row r="151" spans="1:11" x14ac:dyDescent="0.2">
      <c r="C151" s="1" t="s">
        <v>259</v>
      </c>
      <c r="I151" s="72" t="s">
        <v>1711</v>
      </c>
      <c r="K151" s="73"/>
    </row>
    <row r="152" spans="1:11" x14ac:dyDescent="0.2">
      <c r="I152" s="72" t="s">
        <v>1712</v>
      </c>
      <c r="K152" s="73"/>
    </row>
    <row r="153" spans="1:11" x14ac:dyDescent="0.2">
      <c r="A153" s="1" t="s">
        <v>1481</v>
      </c>
      <c r="I153" s="72" t="s">
        <v>1713</v>
      </c>
      <c r="K153" s="73"/>
    </row>
    <row r="154" spans="1:11" x14ac:dyDescent="0.2">
      <c r="A154" s="1" t="s">
        <v>1482</v>
      </c>
      <c r="I154" s="72" t="s">
        <v>1714</v>
      </c>
      <c r="K154" s="73"/>
    </row>
    <row r="155" spans="1:11" x14ac:dyDescent="0.2">
      <c r="A155" s="1" t="s">
        <v>1483</v>
      </c>
      <c r="I155" s="72" t="s">
        <v>1715</v>
      </c>
      <c r="K155" s="73"/>
    </row>
    <row r="156" spans="1:11" ht="17" thickBot="1" x14ac:dyDescent="0.25">
      <c r="A156" s="1" t="s">
        <v>1484</v>
      </c>
      <c r="I156" s="15" t="s">
        <v>1716</v>
      </c>
      <c r="J156" s="16"/>
      <c r="K156" s="17"/>
    </row>
    <row r="161" spans="4:6" x14ac:dyDescent="0.2">
      <c r="D161" s="1" t="s">
        <v>1717</v>
      </c>
      <c r="F161" s="1" t="s">
        <v>1718</v>
      </c>
    </row>
    <row r="169" spans="4:6" x14ac:dyDescent="0.2">
      <c r="E169" s="1" t="s">
        <v>1719</v>
      </c>
    </row>
    <row r="170" spans="4:6" x14ac:dyDescent="0.2">
      <c r="E170" s="1" t="s">
        <v>1720</v>
      </c>
    </row>
    <row r="171" spans="4:6" x14ac:dyDescent="0.2">
      <c r="E171" s="1" t="s">
        <v>1721</v>
      </c>
    </row>
    <row r="185" spans="1:8" x14ac:dyDescent="0.2">
      <c r="A185" s="1" t="s">
        <v>2635</v>
      </c>
    </row>
    <row r="186" spans="1:8" x14ac:dyDescent="0.2">
      <c r="A186" s="1" t="s">
        <v>2636</v>
      </c>
    </row>
    <row r="187" spans="1:8" x14ac:dyDescent="0.2">
      <c r="A187" s="1" t="s">
        <v>2637</v>
      </c>
    </row>
    <row r="188" spans="1:8" x14ac:dyDescent="0.2">
      <c r="A188" s="1" t="s">
        <v>2638</v>
      </c>
    </row>
    <row r="189" spans="1:8" x14ac:dyDescent="0.2">
      <c r="A189" s="1" t="s">
        <v>2639</v>
      </c>
    </row>
    <row r="190" spans="1:8" x14ac:dyDescent="0.2">
      <c r="A190" s="1" t="s">
        <v>2640</v>
      </c>
    </row>
    <row r="191" spans="1:8" ht="17" thickBot="1" x14ac:dyDescent="0.25"/>
    <row r="192" spans="1:8" x14ac:dyDescent="0.2">
      <c r="A192" s="132" t="s">
        <v>2641</v>
      </c>
      <c r="B192" s="336"/>
      <c r="C192" s="336"/>
      <c r="D192" s="336"/>
      <c r="E192" s="336"/>
      <c r="F192" s="336"/>
      <c r="G192" s="336"/>
      <c r="H192" s="339"/>
    </row>
    <row r="193" spans="1:8" x14ac:dyDescent="0.2">
      <c r="A193" s="213"/>
      <c r="B193" s="18" t="s">
        <v>2642</v>
      </c>
      <c r="C193" s="18"/>
      <c r="D193" s="18"/>
      <c r="E193" s="18"/>
      <c r="F193" s="18"/>
      <c r="G193" s="18"/>
      <c r="H193" s="340"/>
    </row>
    <row r="194" spans="1:8" x14ac:dyDescent="0.2">
      <c r="A194" s="213"/>
      <c r="B194" s="18"/>
      <c r="C194" s="18" t="s">
        <v>2643</v>
      </c>
      <c r="D194" s="18"/>
      <c r="E194" s="18"/>
      <c r="F194" s="18"/>
      <c r="G194" s="18"/>
      <c r="H194" s="340"/>
    </row>
    <row r="195" spans="1:8" ht="17" thickBot="1" x14ac:dyDescent="0.25">
      <c r="A195" s="133"/>
      <c r="B195" s="334"/>
      <c r="C195" s="334"/>
      <c r="D195" s="334" t="s">
        <v>2644</v>
      </c>
      <c r="E195" s="334"/>
      <c r="F195" s="334"/>
      <c r="G195" s="334"/>
      <c r="H195" s="341"/>
    </row>
    <row r="197" spans="1:8" x14ac:dyDescent="0.2">
      <c r="B197" s="1" t="s">
        <v>2645</v>
      </c>
    </row>
    <row r="210" spans="1:13" x14ac:dyDescent="0.2">
      <c r="A210" s="1" t="s">
        <v>2646</v>
      </c>
    </row>
    <row r="211" spans="1:13" x14ac:dyDescent="0.2">
      <c r="A211" s="1" t="s">
        <v>2647</v>
      </c>
    </row>
    <row r="213" spans="1:13" x14ac:dyDescent="0.2">
      <c r="A213" s="1" t="s">
        <v>2648</v>
      </c>
    </row>
    <row r="214" spans="1:13" x14ac:dyDescent="0.2">
      <c r="B214" s="1" t="s">
        <v>2649</v>
      </c>
    </row>
    <row r="215" spans="1:13" x14ac:dyDescent="0.2">
      <c r="B215" s="1" t="s">
        <v>2650</v>
      </c>
    </row>
    <row r="216" spans="1:13" x14ac:dyDescent="0.2">
      <c r="B216" s="1" t="s">
        <v>2653</v>
      </c>
    </row>
    <row r="218" spans="1:13" x14ac:dyDescent="0.2">
      <c r="B218" s="1" t="s">
        <v>2651</v>
      </c>
    </row>
    <row r="219" spans="1:13" x14ac:dyDescent="0.2">
      <c r="B219" s="1" t="s">
        <v>2652</v>
      </c>
    </row>
    <row r="222" spans="1:13" x14ac:dyDescent="0.2">
      <c r="H222" s="6" t="s">
        <v>84</v>
      </c>
      <c r="L222" s="6" t="s">
        <v>60</v>
      </c>
    </row>
    <row r="223" spans="1:13" x14ac:dyDescent="0.2">
      <c r="B223" s="1" t="s">
        <v>2654</v>
      </c>
      <c r="G223" s="1">
        <v>6.5</v>
      </c>
      <c r="H223" s="1" t="s">
        <v>1270</v>
      </c>
      <c r="K223" s="20" t="s">
        <v>75</v>
      </c>
      <c r="L223" s="1" t="s">
        <v>111</v>
      </c>
    </row>
    <row r="224" spans="1:13" x14ac:dyDescent="0.2">
      <c r="K224" s="20">
        <v>10</v>
      </c>
      <c r="L224" s="1" t="s">
        <v>62</v>
      </c>
      <c r="M224" s="1" t="s">
        <v>2660</v>
      </c>
    </row>
    <row r="225" spans="2:13" x14ac:dyDescent="0.2">
      <c r="E225" s="20" t="s">
        <v>87</v>
      </c>
      <c r="F225" s="20"/>
      <c r="H225" s="1" t="s">
        <v>1001</v>
      </c>
      <c r="K225" s="20">
        <v>6.5</v>
      </c>
      <c r="L225" s="1" t="s">
        <v>63</v>
      </c>
      <c r="M225" s="1" t="s">
        <v>2661</v>
      </c>
    </row>
    <row r="226" spans="2:13" x14ac:dyDescent="0.2">
      <c r="B226" s="1" t="s">
        <v>2655</v>
      </c>
      <c r="E226" s="20">
        <v>0</v>
      </c>
      <c r="F226" s="20">
        <v>1</v>
      </c>
      <c r="K226" s="342">
        <f>-F239</f>
        <v>-82.027924443097277</v>
      </c>
      <c r="L226" s="1" t="s">
        <v>64</v>
      </c>
      <c r="M226" s="1" t="s">
        <v>1164</v>
      </c>
    </row>
    <row r="227" spans="2:13" x14ac:dyDescent="0.2">
      <c r="B227" s="1" t="s">
        <v>2656</v>
      </c>
      <c r="E227" s="20">
        <v>4</v>
      </c>
      <c r="F227" s="20">
        <v>2</v>
      </c>
      <c r="H227" s="1" t="s">
        <v>2657</v>
      </c>
      <c r="K227" s="20">
        <v>4</v>
      </c>
      <c r="L227" s="1" t="s">
        <v>65</v>
      </c>
      <c r="M227" s="1" t="s">
        <v>2662</v>
      </c>
    </row>
    <row r="228" spans="2:13" x14ac:dyDescent="0.2">
      <c r="E228" s="20">
        <v>4</v>
      </c>
      <c r="F228" s="20">
        <v>3</v>
      </c>
      <c r="K228" s="20">
        <v>100</v>
      </c>
      <c r="L228" s="1" t="s">
        <v>66</v>
      </c>
      <c r="M228" s="1" t="s">
        <v>2663</v>
      </c>
    </row>
    <row r="229" spans="2:13" x14ac:dyDescent="0.2">
      <c r="E229" s="20">
        <v>4</v>
      </c>
      <c r="F229" s="20">
        <v>4</v>
      </c>
    </row>
    <row r="230" spans="2:13" x14ac:dyDescent="0.2">
      <c r="E230" s="20">
        <v>4</v>
      </c>
      <c r="F230" s="20">
        <v>5</v>
      </c>
    </row>
    <row r="231" spans="2:13" x14ac:dyDescent="0.2">
      <c r="E231" s="20">
        <v>4</v>
      </c>
      <c r="F231" s="20">
        <v>6</v>
      </c>
    </row>
    <row r="232" spans="2:13" x14ac:dyDescent="0.2">
      <c r="E232" s="20">
        <v>4</v>
      </c>
      <c r="F232" s="20">
        <v>7</v>
      </c>
    </row>
    <row r="233" spans="2:13" x14ac:dyDescent="0.2">
      <c r="E233" s="20">
        <v>4</v>
      </c>
      <c r="F233" s="20">
        <v>8</v>
      </c>
      <c r="K233" s="18" t="s">
        <v>2664</v>
      </c>
    </row>
    <row r="234" spans="2:13" x14ac:dyDescent="0.2">
      <c r="E234" s="20">
        <v>4</v>
      </c>
      <c r="F234" s="20">
        <v>9</v>
      </c>
      <c r="K234" s="18" t="s">
        <v>2665</v>
      </c>
    </row>
    <row r="235" spans="2:13" x14ac:dyDescent="0.2">
      <c r="E235" s="20">
        <v>4</v>
      </c>
      <c r="F235" s="20">
        <v>10</v>
      </c>
      <c r="K235" s="18" t="s">
        <v>2666</v>
      </c>
    </row>
    <row r="236" spans="2:13" x14ac:dyDescent="0.2">
      <c r="B236" s="1" t="s">
        <v>2658</v>
      </c>
      <c r="E236" s="20">
        <v>104</v>
      </c>
      <c r="F236" s="20">
        <v>11</v>
      </c>
      <c r="K236" s="18" t="s">
        <v>2667</v>
      </c>
    </row>
    <row r="237" spans="2:13" x14ac:dyDescent="0.2">
      <c r="B237" s="1" t="s">
        <v>2659</v>
      </c>
      <c r="K237" s="18" t="s">
        <v>2668</v>
      </c>
    </row>
    <row r="239" spans="2:13" x14ac:dyDescent="0.2">
      <c r="F239" s="343">
        <f>NPV(G223/100,E227:E236)</f>
        <v>82.027924443097277</v>
      </c>
      <c r="H239" s="1" t="s">
        <v>1278</v>
      </c>
    </row>
    <row r="252" spans="1:8" x14ac:dyDescent="0.2">
      <c r="A252" s="175" t="s">
        <v>1191</v>
      </c>
      <c r="B252" s="175" t="s">
        <v>2476</v>
      </c>
      <c r="C252" s="174"/>
      <c r="D252" s="174"/>
      <c r="E252" s="174"/>
      <c r="F252" s="174"/>
      <c r="G252" s="174"/>
      <c r="H252" s="174"/>
    </row>
    <row r="265" spans="1:1" x14ac:dyDescent="0.2">
      <c r="A265" s="18" t="s">
        <v>2473</v>
      </c>
    </row>
    <row r="266" spans="1:1" x14ac:dyDescent="0.2">
      <c r="A266" s="1" t="s">
        <v>2474</v>
      </c>
    </row>
    <row r="267" spans="1:1" x14ac:dyDescent="0.2">
      <c r="A267" s="1" t="s">
        <v>2475</v>
      </c>
    </row>
    <row r="269" spans="1:1" x14ac:dyDescent="0.2">
      <c r="A269" s="1" t="s">
        <v>2477</v>
      </c>
    </row>
    <row r="270" spans="1:1" x14ac:dyDescent="0.2">
      <c r="A270" s="1" t="s">
        <v>2478</v>
      </c>
    </row>
    <row r="271" spans="1:1" x14ac:dyDescent="0.2">
      <c r="A271" s="1" t="s">
        <v>2479</v>
      </c>
    </row>
    <row r="272" spans="1:1" x14ac:dyDescent="0.2">
      <c r="A272" s="1" t="s">
        <v>2480</v>
      </c>
    </row>
    <row r="273" spans="1:10" x14ac:dyDescent="0.2">
      <c r="A273" s="1" t="s">
        <v>1786</v>
      </c>
    </row>
    <row r="274" spans="1:10" x14ac:dyDescent="0.2">
      <c r="A274" s="1" t="s">
        <v>1787</v>
      </c>
    </row>
    <row r="275" spans="1:10" ht="17" thickBot="1" x14ac:dyDescent="0.25"/>
    <row r="276" spans="1:10" x14ac:dyDescent="0.2">
      <c r="B276" s="12" t="s">
        <v>2481</v>
      </c>
      <c r="C276" s="13" t="s">
        <v>2482</v>
      </c>
      <c r="D276" s="13"/>
      <c r="E276" s="13"/>
      <c r="F276" s="13"/>
      <c r="G276" s="13"/>
      <c r="H276" s="13"/>
      <c r="I276" s="13" t="s">
        <v>2485</v>
      </c>
      <c r="J276" s="14"/>
    </row>
    <row r="277" spans="1:10" x14ac:dyDescent="0.2">
      <c r="B277" s="72"/>
      <c r="C277" s="1" t="s">
        <v>2483</v>
      </c>
      <c r="J277" s="73"/>
    </row>
    <row r="278" spans="1:10" x14ac:dyDescent="0.2">
      <c r="B278" s="72"/>
      <c r="C278" s="18" t="s">
        <v>2486</v>
      </c>
      <c r="D278" s="18"/>
      <c r="E278" s="18"/>
      <c r="F278" s="18"/>
      <c r="G278" s="18"/>
      <c r="H278" s="18"/>
      <c r="J278" s="73"/>
    </row>
    <row r="279" spans="1:10" x14ac:dyDescent="0.2">
      <c r="B279" s="72"/>
      <c r="C279" s="18" t="s">
        <v>2487</v>
      </c>
      <c r="D279" s="18"/>
      <c r="E279" s="18"/>
      <c r="F279" s="18"/>
      <c r="G279" s="18"/>
      <c r="H279" s="18"/>
      <c r="J279" s="73"/>
    </row>
    <row r="280" spans="1:10" x14ac:dyDescent="0.2">
      <c r="B280" s="72"/>
      <c r="J280" s="73"/>
    </row>
    <row r="281" spans="1:10" x14ac:dyDescent="0.2">
      <c r="B281" s="72" t="s">
        <v>2484</v>
      </c>
      <c r="C281" s="1" t="s">
        <v>2494</v>
      </c>
      <c r="I281" s="1" t="s">
        <v>2497</v>
      </c>
      <c r="J281" s="73"/>
    </row>
    <row r="282" spans="1:10" x14ac:dyDescent="0.2">
      <c r="B282" s="72"/>
      <c r="C282" s="1" t="s">
        <v>2495</v>
      </c>
      <c r="J282" s="73"/>
    </row>
    <row r="283" spans="1:10" ht="17" thickBot="1" x14ac:dyDescent="0.25">
      <c r="B283" s="15"/>
      <c r="C283" s="16" t="s">
        <v>2496</v>
      </c>
      <c r="D283" s="16"/>
      <c r="E283" s="16"/>
      <c r="F283" s="16"/>
      <c r="G283" s="16"/>
      <c r="H283" s="16"/>
      <c r="I283" s="16"/>
      <c r="J283" s="17"/>
    </row>
    <row r="285" spans="1:10" x14ac:dyDescent="0.2">
      <c r="A285" s="1" t="s">
        <v>1788</v>
      </c>
    </row>
    <row r="286" spans="1:10" x14ac:dyDescent="0.2">
      <c r="A286" s="1" t="s">
        <v>1789</v>
      </c>
    </row>
    <row r="287" spans="1:10" x14ac:dyDescent="0.2">
      <c r="A287" s="1" t="s">
        <v>1790</v>
      </c>
    </row>
    <row r="288" spans="1:10" x14ac:dyDescent="0.2">
      <c r="A288" s="1" t="s">
        <v>1791</v>
      </c>
    </row>
    <row r="290" spans="1:7" x14ac:dyDescent="0.2">
      <c r="A290" s="1" t="s">
        <v>1792</v>
      </c>
    </row>
    <row r="291" spans="1:7" x14ac:dyDescent="0.2">
      <c r="A291" s="1" t="s">
        <v>1793</v>
      </c>
    </row>
    <row r="293" spans="1:7" x14ac:dyDescent="0.2">
      <c r="C293" s="20" t="s">
        <v>739</v>
      </c>
      <c r="D293" s="20"/>
      <c r="E293" s="20"/>
      <c r="F293" s="20" t="s">
        <v>1794</v>
      </c>
    </row>
    <row r="294" spans="1:7" ht="17" thickBot="1" x14ac:dyDescent="0.25">
      <c r="C294" s="167">
        <v>5</v>
      </c>
      <c r="D294" s="167"/>
      <c r="E294" s="167"/>
      <c r="F294" s="167">
        <v>0</v>
      </c>
    </row>
    <row r="295" spans="1:7" x14ac:dyDescent="0.2">
      <c r="A295" s="1" t="s">
        <v>1798</v>
      </c>
      <c r="C295" s="364">
        <v>100</v>
      </c>
      <c r="D295" s="20"/>
      <c r="E295" s="20"/>
      <c r="F295" s="20">
        <v>100</v>
      </c>
      <c r="G295" s="1" t="s">
        <v>1795</v>
      </c>
    </row>
    <row r="296" spans="1:7" x14ac:dyDescent="0.2">
      <c r="C296" s="20"/>
      <c r="D296" s="218"/>
      <c r="E296" s="218"/>
      <c r="F296" s="48">
        <v>-30</v>
      </c>
      <c r="G296" s="1" t="s">
        <v>1796</v>
      </c>
    </row>
    <row r="297" spans="1:7" x14ac:dyDescent="0.2">
      <c r="C297" s="20"/>
      <c r="D297" s="218"/>
      <c r="E297" s="218"/>
      <c r="F297" s="364">
        <f>F295+F296</f>
        <v>70</v>
      </c>
      <c r="G297" s="1" t="s">
        <v>1797</v>
      </c>
    </row>
    <row r="299" spans="1:7" x14ac:dyDescent="0.2">
      <c r="A299" s="1" t="s">
        <v>1799</v>
      </c>
    </row>
    <row r="300" spans="1:7" x14ac:dyDescent="0.2">
      <c r="E300" s="68"/>
    </row>
    <row r="301" spans="1:7" x14ac:dyDescent="0.2">
      <c r="A301" s="1" t="s">
        <v>2491</v>
      </c>
      <c r="G301" s="1" t="s">
        <v>2488</v>
      </c>
    </row>
    <row r="302" spans="1:7" x14ac:dyDescent="0.2">
      <c r="A302" s="1" t="s">
        <v>2492</v>
      </c>
      <c r="D302" s="75">
        <f>100/70-1</f>
        <v>0.4285714285714286</v>
      </c>
      <c r="G302" s="1" t="s">
        <v>2489</v>
      </c>
    </row>
    <row r="303" spans="1:7" x14ac:dyDescent="0.2">
      <c r="A303" s="1" t="s">
        <v>2493</v>
      </c>
      <c r="G303" s="1" t="s">
        <v>2490</v>
      </c>
    </row>
    <row r="305" spans="1:6" x14ac:dyDescent="0.2">
      <c r="A305" s="1" t="s">
        <v>2498</v>
      </c>
    </row>
    <row r="306" spans="1:6" x14ac:dyDescent="0.2">
      <c r="A306" s="1" t="s">
        <v>2507</v>
      </c>
    </row>
    <row r="308" spans="1:6" x14ac:dyDescent="0.2">
      <c r="D308" s="203">
        <v>7.3899999999999993E-2</v>
      </c>
    </row>
    <row r="309" spans="1:6" x14ac:dyDescent="0.2">
      <c r="D309" s="1" t="s">
        <v>259</v>
      </c>
    </row>
    <row r="312" spans="1:6" x14ac:dyDescent="0.2">
      <c r="F312" s="1" t="s">
        <v>2499</v>
      </c>
    </row>
    <row r="313" spans="1:6" x14ac:dyDescent="0.2">
      <c r="F313" s="1" t="s">
        <v>2500</v>
      </c>
    </row>
    <row r="314" spans="1:6" x14ac:dyDescent="0.2">
      <c r="F314" s="1" t="s">
        <v>2501</v>
      </c>
    </row>
    <row r="315" spans="1:6" x14ac:dyDescent="0.2">
      <c r="F315" s="1" t="s">
        <v>2502</v>
      </c>
    </row>
    <row r="316" spans="1:6" x14ac:dyDescent="0.2">
      <c r="F316" s="1" t="s">
        <v>2503</v>
      </c>
    </row>
    <row r="317" spans="1:6" x14ac:dyDescent="0.2">
      <c r="F317" s="1" t="s">
        <v>2504</v>
      </c>
    </row>
    <row r="318" spans="1:6" x14ac:dyDescent="0.2">
      <c r="F318" s="1" t="s">
        <v>2505</v>
      </c>
    </row>
    <row r="319" spans="1:6" x14ac:dyDescent="0.2">
      <c r="F319" s="1" t="s">
        <v>2506</v>
      </c>
    </row>
    <row r="336" spans="1:1" x14ac:dyDescent="0.2">
      <c r="A336" s="1" t="s">
        <v>146</v>
      </c>
    </row>
    <row r="338" spans="1:18" x14ac:dyDescent="0.2">
      <c r="A338" s="1" t="s">
        <v>2669</v>
      </c>
      <c r="J338" s="1" t="s">
        <v>2671</v>
      </c>
    </row>
    <row r="339" spans="1:18" x14ac:dyDescent="0.2">
      <c r="A339" s="1" t="s">
        <v>2670</v>
      </c>
      <c r="P339" s="1" t="s">
        <v>2838</v>
      </c>
    </row>
    <row r="340" spans="1:18" x14ac:dyDescent="0.2">
      <c r="C340" s="20" t="s">
        <v>1091</v>
      </c>
      <c r="D340" s="20" t="s">
        <v>2681</v>
      </c>
      <c r="E340" s="20" t="s">
        <v>2683</v>
      </c>
      <c r="F340" s="20" t="s">
        <v>2680</v>
      </c>
    </row>
    <row r="341" spans="1:18" x14ac:dyDescent="0.2">
      <c r="C341" s="20" t="s">
        <v>2679</v>
      </c>
      <c r="D341" s="20" t="s">
        <v>2682</v>
      </c>
      <c r="E341" s="20" t="s">
        <v>2684</v>
      </c>
      <c r="F341" s="20" t="s">
        <v>2679</v>
      </c>
      <c r="R341" s="20" t="s">
        <v>2680</v>
      </c>
    </row>
    <row r="342" spans="1:18" x14ac:dyDescent="0.2">
      <c r="C342" s="27">
        <v>0</v>
      </c>
      <c r="D342" s="27" t="s">
        <v>1587</v>
      </c>
      <c r="E342" s="27" t="s">
        <v>2678</v>
      </c>
      <c r="F342" s="27">
        <v>10</v>
      </c>
      <c r="R342" s="20" t="s">
        <v>2679</v>
      </c>
    </row>
    <row r="343" spans="1:18" x14ac:dyDescent="0.2">
      <c r="A343" s="1" t="s">
        <v>1258</v>
      </c>
      <c r="D343" s="20">
        <v>250000</v>
      </c>
      <c r="E343" s="20">
        <v>250000</v>
      </c>
      <c r="F343" s="20">
        <v>250000</v>
      </c>
      <c r="R343" s="27">
        <v>10</v>
      </c>
    </row>
    <row r="344" spans="1:18" x14ac:dyDescent="0.2">
      <c r="A344" s="1" t="s">
        <v>2672</v>
      </c>
      <c r="D344" s="20">
        <v>-72000</v>
      </c>
      <c r="E344" s="20">
        <v>-72000</v>
      </c>
      <c r="F344" s="20">
        <v>-72000</v>
      </c>
      <c r="R344" s="20">
        <v>250000</v>
      </c>
    </row>
    <row r="345" spans="1:18" x14ac:dyDescent="0.2">
      <c r="A345" s="1" t="s">
        <v>2673</v>
      </c>
      <c r="D345" s="20">
        <v>-150000</v>
      </c>
      <c r="E345" s="20">
        <v>0</v>
      </c>
      <c r="F345" s="20">
        <v>0</v>
      </c>
      <c r="R345" s="20">
        <v>-72000</v>
      </c>
    </row>
    <row r="346" spans="1:18" x14ac:dyDescent="0.2">
      <c r="A346" s="1" t="s">
        <v>901</v>
      </c>
      <c r="D346" s="344">
        <f>SUM(D343:D345)</f>
        <v>28000</v>
      </c>
      <c r="E346" s="344">
        <f>SUM(E343:E345)</f>
        <v>178000</v>
      </c>
      <c r="F346" s="344">
        <f>SUM(F343:F345)</f>
        <v>178000</v>
      </c>
      <c r="R346" s="20">
        <v>0</v>
      </c>
    </row>
    <row r="347" spans="1:18" x14ac:dyDescent="0.2">
      <c r="A347" s="1" t="s">
        <v>2685</v>
      </c>
      <c r="D347" s="20">
        <f>-20%*D346</f>
        <v>-5600</v>
      </c>
      <c r="E347" s="20">
        <f>-20%*E346</f>
        <v>-35600</v>
      </c>
      <c r="F347" s="20">
        <f>-20%*F346</f>
        <v>-35600</v>
      </c>
      <c r="Q347" s="1" t="s">
        <v>1261</v>
      </c>
      <c r="R347" s="24">
        <f>H356</f>
        <v>100000</v>
      </c>
    </row>
    <row r="348" spans="1:18" x14ac:dyDescent="0.2">
      <c r="A348" s="1" t="s">
        <v>2686</v>
      </c>
      <c r="D348" s="345">
        <f>D346+D347</f>
        <v>22400</v>
      </c>
      <c r="E348" s="345">
        <f>E346+E347</f>
        <v>142400</v>
      </c>
      <c r="F348" s="345">
        <f>F346+F347</f>
        <v>142400</v>
      </c>
      <c r="R348" s="344">
        <f>SUM(R344:R347)</f>
        <v>278000</v>
      </c>
    </row>
    <row r="349" spans="1:18" x14ac:dyDescent="0.2">
      <c r="A349" s="1" t="s">
        <v>2674</v>
      </c>
      <c r="D349" s="20">
        <f>-D345</f>
        <v>150000</v>
      </c>
      <c r="E349" s="20">
        <v>0</v>
      </c>
      <c r="F349" s="20">
        <v>0</v>
      </c>
      <c r="R349" s="20">
        <f>-20%*R348</f>
        <v>-55600</v>
      </c>
    </row>
    <row r="350" spans="1:18" x14ac:dyDescent="0.2">
      <c r="A350" s="1" t="s">
        <v>2675</v>
      </c>
      <c r="C350" s="20">
        <v>-750000</v>
      </c>
      <c r="F350" s="20">
        <f>100000*(1-20%)</f>
        <v>80000</v>
      </c>
      <c r="R350" s="345">
        <f>R348+R349</f>
        <v>222400</v>
      </c>
    </row>
    <row r="351" spans="1:18" x14ac:dyDescent="0.2">
      <c r="A351" s="1" t="s">
        <v>2676</v>
      </c>
      <c r="C351" s="20">
        <v>0</v>
      </c>
      <c r="D351" s="20"/>
      <c r="E351" s="20"/>
      <c r="F351" s="20">
        <v>0</v>
      </c>
      <c r="G351" s="20"/>
      <c r="R351" s="20">
        <v>0</v>
      </c>
    </row>
    <row r="352" spans="1:18" x14ac:dyDescent="0.2">
      <c r="A352" s="18" t="s">
        <v>2677</v>
      </c>
      <c r="B352" s="18"/>
      <c r="C352" s="204">
        <f>SUM(C348:C351)</f>
        <v>-750000</v>
      </c>
      <c r="D352" s="204">
        <f>SUM(D348:D351)</f>
        <v>172400</v>
      </c>
      <c r="E352" s="204">
        <f>SUM(E348:E351)</f>
        <v>142400</v>
      </c>
      <c r="F352" s="204">
        <f>SUM(F348:F351)</f>
        <v>222400</v>
      </c>
      <c r="Q352" s="1" t="s">
        <v>1327</v>
      </c>
      <c r="R352" s="20">
        <v>0</v>
      </c>
    </row>
    <row r="353" spans="2:18" x14ac:dyDescent="0.2">
      <c r="G353" s="1" t="s">
        <v>2687</v>
      </c>
      <c r="R353" s="20">
        <v>0</v>
      </c>
    </row>
    <row r="354" spans="2:18" x14ac:dyDescent="0.2">
      <c r="G354" s="1" t="s">
        <v>2837</v>
      </c>
      <c r="H354" s="3">
        <v>100000</v>
      </c>
      <c r="R354" s="204">
        <f>SUM(R350:R353)</f>
        <v>222400</v>
      </c>
    </row>
    <row r="355" spans="2:18" x14ac:dyDescent="0.2">
      <c r="G355" s="1" t="s">
        <v>1327</v>
      </c>
      <c r="H355" s="1">
        <v>0</v>
      </c>
      <c r="K355" s="1" t="s">
        <v>2688</v>
      </c>
    </row>
    <row r="356" spans="2:18" x14ac:dyDescent="0.2">
      <c r="G356" s="1" t="s">
        <v>1261</v>
      </c>
      <c r="H356" s="3">
        <f>H354-H355</f>
        <v>100000</v>
      </c>
      <c r="I356" s="1" t="s">
        <v>2691</v>
      </c>
    </row>
    <row r="357" spans="2:18" x14ac:dyDescent="0.2">
      <c r="G357" s="1" t="s">
        <v>2689</v>
      </c>
      <c r="H357" s="1">
        <f>H356*20%</f>
        <v>20000</v>
      </c>
    </row>
    <row r="359" spans="2:18" x14ac:dyDescent="0.2">
      <c r="G359" s="1" t="s">
        <v>2690</v>
      </c>
    </row>
    <row r="361" spans="2:18" x14ac:dyDescent="0.2">
      <c r="F361" s="1" t="s">
        <v>959</v>
      </c>
    </row>
    <row r="362" spans="2:18" x14ac:dyDescent="0.2">
      <c r="B362" s="20" t="s">
        <v>87</v>
      </c>
      <c r="C362" s="20"/>
      <c r="E362" s="1">
        <v>12</v>
      </c>
      <c r="F362" s="1" t="s">
        <v>63</v>
      </c>
      <c r="G362" s="1" t="s">
        <v>2692</v>
      </c>
    </row>
    <row r="363" spans="2:18" x14ac:dyDescent="0.2">
      <c r="B363" s="20">
        <v>-750000</v>
      </c>
      <c r="C363" s="20">
        <v>1</v>
      </c>
    </row>
    <row r="364" spans="2:18" x14ac:dyDescent="0.2">
      <c r="B364" s="20">
        <v>172400</v>
      </c>
      <c r="C364" s="20">
        <v>2</v>
      </c>
    </row>
    <row r="365" spans="2:18" x14ac:dyDescent="0.2">
      <c r="B365" s="20">
        <v>172400</v>
      </c>
      <c r="C365" s="20">
        <v>3</v>
      </c>
    </row>
    <row r="366" spans="2:18" x14ac:dyDescent="0.2">
      <c r="B366" s="20">
        <v>172400</v>
      </c>
      <c r="C366" s="20">
        <v>4</v>
      </c>
    </row>
    <row r="367" spans="2:18" x14ac:dyDescent="0.2">
      <c r="B367" s="20">
        <v>172400</v>
      </c>
      <c r="C367" s="20">
        <v>5</v>
      </c>
    </row>
    <row r="368" spans="2:18" x14ac:dyDescent="0.2">
      <c r="B368" s="20">
        <v>172400</v>
      </c>
      <c r="C368" s="20">
        <v>6</v>
      </c>
    </row>
    <row r="369" spans="1:8" x14ac:dyDescent="0.2">
      <c r="B369" s="20">
        <v>142400</v>
      </c>
      <c r="C369" s="20">
        <v>7</v>
      </c>
    </row>
    <row r="370" spans="1:8" x14ac:dyDescent="0.2">
      <c r="B370" s="20">
        <v>142400</v>
      </c>
      <c r="C370" s="20">
        <v>8</v>
      </c>
    </row>
    <row r="371" spans="1:8" x14ac:dyDescent="0.2">
      <c r="B371" s="20">
        <v>142400</v>
      </c>
      <c r="C371" s="20">
        <v>9</v>
      </c>
    </row>
    <row r="372" spans="1:8" x14ac:dyDescent="0.2">
      <c r="B372" s="20">
        <v>142400</v>
      </c>
      <c r="C372" s="20">
        <v>10</v>
      </c>
    </row>
    <row r="373" spans="1:8" x14ac:dyDescent="0.2">
      <c r="B373" s="20">
        <f>F352</f>
        <v>222400</v>
      </c>
      <c r="C373" s="20">
        <v>11</v>
      </c>
    </row>
    <row r="375" spans="1:8" x14ac:dyDescent="0.2">
      <c r="D375" s="346">
        <f>NPV(E362/100,B364:B373)+B363</f>
        <v>188492.90424331254</v>
      </c>
      <c r="F375" s="1" t="s">
        <v>1278</v>
      </c>
    </row>
    <row r="376" spans="1:8" x14ac:dyDescent="0.2">
      <c r="D376" s="18" t="s">
        <v>245</v>
      </c>
    </row>
    <row r="382" spans="1:8" x14ac:dyDescent="0.2">
      <c r="A382" s="175" t="s">
        <v>1207</v>
      </c>
      <c r="B382" s="174"/>
      <c r="C382" s="174"/>
      <c r="D382" s="174"/>
      <c r="E382" s="174"/>
      <c r="F382" s="174"/>
      <c r="G382" s="174"/>
      <c r="H382" s="174"/>
    </row>
    <row r="384" spans="1:8" x14ac:dyDescent="0.2">
      <c r="A384" s="1" t="s">
        <v>1509</v>
      </c>
    </row>
    <row r="385" spans="1:7" x14ac:dyDescent="0.2">
      <c r="A385" s="1" t="s">
        <v>1510</v>
      </c>
      <c r="B385" s="1">
        <v>100</v>
      </c>
    </row>
    <row r="386" spans="1:7" x14ac:dyDescent="0.2">
      <c r="A386" s="1" t="s">
        <v>1511</v>
      </c>
      <c r="B386" s="37">
        <v>0.1</v>
      </c>
    </row>
    <row r="387" spans="1:7" x14ac:dyDescent="0.2">
      <c r="A387" s="1" t="s">
        <v>1512</v>
      </c>
    </row>
    <row r="388" spans="1:7" x14ac:dyDescent="0.2">
      <c r="A388" s="1" t="s">
        <v>1513</v>
      </c>
    </row>
    <row r="389" spans="1:7" x14ac:dyDescent="0.2">
      <c r="A389" s="1" t="s">
        <v>1514</v>
      </c>
    </row>
    <row r="391" spans="1:7" x14ac:dyDescent="0.2">
      <c r="A391" s="1" t="s">
        <v>1515</v>
      </c>
    </row>
    <row r="393" spans="1:7" x14ac:dyDescent="0.2">
      <c r="G393" s="1" t="s">
        <v>60</v>
      </c>
    </row>
    <row r="394" spans="1:7" x14ac:dyDescent="0.2">
      <c r="F394" s="1" t="s">
        <v>75</v>
      </c>
      <c r="G394" s="1" t="s">
        <v>111</v>
      </c>
    </row>
    <row r="395" spans="1:7" x14ac:dyDescent="0.2">
      <c r="A395" s="1" t="s">
        <v>1517</v>
      </c>
      <c r="F395" s="1">
        <f>5*4</f>
        <v>20</v>
      </c>
      <c r="G395" s="1" t="s">
        <v>62</v>
      </c>
    </row>
    <row r="396" spans="1:7" x14ac:dyDescent="0.2">
      <c r="A396" s="1" t="s">
        <v>1518</v>
      </c>
      <c r="F396" s="85">
        <f>((1+10.381%)^0.25-1)*100</f>
        <v>2.499932894117296</v>
      </c>
      <c r="G396" s="1" t="s">
        <v>63</v>
      </c>
    </row>
    <row r="397" spans="1:7" x14ac:dyDescent="0.2">
      <c r="A397" s="1" t="s">
        <v>1519</v>
      </c>
      <c r="F397" s="90">
        <f>PV(F396/100,F395,F398,F399)</f>
        <v>-100.00104613112713</v>
      </c>
      <c r="G397" s="1" t="s">
        <v>64</v>
      </c>
    </row>
    <row r="398" spans="1:7" x14ac:dyDescent="0.2">
      <c r="A398" s="1" t="s">
        <v>1516</v>
      </c>
      <c r="F398" s="1">
        <f>10%/4*100</f>
        <v>2.5</v>
      </c>
      <c r="G398" s="1" t="s">
        <v>65</v>
      </c>
    </row>
    <row r="399" spans="1:7" x14ac:dyDescent="0.2">
      <c r="F399" s="1">
        <v>100</v>
      </c>
      <c r="G399" s="1" t="s">
        <v>66</v>
      </c>
    </row>
    <row r="401" spans="1:8" x14ac:dyDescent="0.2">
      <c r="A401" s="1" t="s">
        <v>1520</v>
      </c>
    </row>
    <row r="402" spans="1:8" x14ac:dyDescent="0.2">
      <c r="A402" s="1" t="s">
        <v>1521</v>
      </c>
    </row>
    <row r="404" spans="1:8" x14ac:dyDescent="0.2">
      <c r="A404" s="175" t="s">
        <v>1212</v>
      </c>
      <c r="B404" s="174"/>
      <c r="C404" s="174"/>
      <c r="D404" s="174"/>
      <c r="E404" s="174"/>
      <c r="F404" s="174"/>
      <c r="G404" s="174"/>
      <c r="H404" s="174"/>
    </row>
    <row r="415" spans="1:8" x14ac:dyDescent="0.2">
      <c r="A415" s="1" t="s">
        <v>2508</v>
      </c>
    </row>
    <row r="416" spans="1:8" ht="17" thickBot="1" x14ac:dyDescent="0.25"/>
    <row r="417" spans="1:8" x14ac:dyDescent="0.2">
      <c r="A417" s="12" t="s">
        <v>2533</v>
      </c>
      <c r="B417" s="13" t="s">
        <v>2534</v>
      </c>
      <c r="C417" s="13"/>
      <c r="D417" s="13"/>
      <c r="E417" s="13"/>
      <c r="F417" s="13"/>
      <c r="G417" s="13"/>
      <c r="H417" s="14"/>
    </row>
    <row r="418" spans="1:8" x14ac:dyDescent="0.2">
      <c r="A418" s="72"/>
      <c r="H418" s="73"/>
    </row>
    <row r="419" spans="1:8" x14ac:dyDescent="0.2">
      <c r="A419" s="72"/>
      <c r="B419" s="1" t="s">
        <v>2535</v>
      </c>
      <c r="H419" s="73"/>
    </row>
    <row r="420" spans="1:8" x14ac:dyDescent="0.2">
      <c r="A420" s="72"/>
      <c r="B420" s="1" t="s">
        <v>2536</v>
      </c>
      <c r="H420" s="73"/>
    </row>
    <row r="421" spans="1:8" x14ac:dyDescent="0.2">
      <c r="A421" s="72"/>
      <c r="H421" s="73"/>
    </row>
    <row r="422" spans="1:8" x14ac:dyDescent="0.2">
      <c r="A422" s="72"/>
      <c r="B422" s="1" t="s">
        <v>2537</v>
      </c>
      <c r="H422" s="73"/>
    </row>
    <row r="423" spans="1:8" x14ac:dyDescent="0.2">
      <c r="A423" s="72"/>
      <c r="B423" s="1" t="s">
        <v>2538</v>
      </c>
      <c r="H423" s="73"/>
    </row>
    <row r="424" spans="1:8" x14ac:dyDescent="0.2">
      <c r="A424" s="72"/>
      <c r="H424" s="73"/>
    </row>
    <row r="425" spans="1:8" x14ac:dyDescent="0.2">
      <c r="A425" s="72"/>
      <c r="E425" s="333">
        <f>1.05^4-1</f>
        <v>0.21550625000000001</v>
      </c>
      <c r="H425" s="73"/>
    </row>
    <row r="426" spans="1:8" x14ac:dyDescent="0.2">
      <c r="A426" s="72"/>
      <c r="H426" s="73"/>
    </row>
    <row r="427" spans="1:8" x14ac:dyDescent="0.2">
      <c r="A427" s="72"/>
      <c r="E427" s="333">
        <f>1.05^4-1</f>
        <v>0.21550625000000001</v>
      </c>
      <c r="H427" s="73"/>
    </row>
    <row r="428" spans="1:8" ht="17" thickBot="1" x14ac:dyDescent="0.25">
      <c r="A428" s="15"/>
      <c r="B428" s="16"/>
      <c r="C428" s="16"/>
      <c r="D428" s="16"/>
      <c r="E428" s="16"/>
      <c r="F428" s="16"/>
      <c r="G428" s="16"/>
      <c r="H428" s="17"/>
    </row>
    <row r="429" spans="1:8" ht="17" thickBot="1" x14ac:dyDescent="0.25"/>
    <row r="430" spans="1:8" x14ac:dyDescent="0.2">
      <c r="A430" s="12" t="s">
        <v>2539</v>
      </c>
      <c r="B430" s="13" t="s">
        <v>2544</v>
      </c>
      <c r="C430" s="13"/>
      <c r="D430" s="13"/>
      <c r="E430" s="13"/>
      <c r="F430" s="13"/>
      <c r="G430" s="13"/>
      <c r="H430" s="14"/>
    </row>
    <row r="431" spans="1:8" x14ac:dyDescent="0.2">
      <c r="A431" s="72"/>
      <c r="H431" s="73"/>
    </row>
    <row r="432" spans="1:8" x14ac:dyDescent="0.2">
      <c r="A432" s="72"/>
      <c r="B432" s="1" t="s">
        <v>2540</v>
      </c>
      <c r="H432" s="73"/>
    </row>
    <row r="433" spans="1:9" x14ac:dyDescent="0.2">
      <c r="A433" s="72"/>
      <c r="B433" s="1" t="s">
        <v>2541</v>
      </c>
      <c r="H433" s="73"/>
    </row>
    <row r="434" spans="1:9" x14ac:dyDescent="0.2">
      <c r="A434" s="72"/>
      <c r="E434" s="1" t="s">
        <v>2543</v>
      </c>
      <c r="H434" s="73"/>
    </row>
    <row r="435" spans="1:9" x14ac:dyDescent="0.2">
      <c r="A435" s="72"/>
      <c r="H435" s="73"/>
    </row>
    <row r="436" spans="1:9" x14ac:dyDescent="0.2">
      <c r="A436" s="72"/>
      <c r="B436" s="1" t="s">
        <v>2537</v>
      </c>
      <c r="H436" s="73"/>
    </row>
    <row r="437" spans="1:9" x14ac:dyDescent="0.2">
      <c r="A437" s="72"/>
      <c r="B437" s="1" t="s">
        <v>2542</v>
      </c>
      <c r="H437" s="73"/>
    </row>
    <row r="438" spans="1:9" x14ac:dyDescent="0.2">
      <c r="A438" s="72"/>
      <c r="H438" s="73"/>
    </row>
    <row r="439" spans="1:9" x14ac:dyDescent="0.2">
      <c r="A439" s="72"/>
      <c r="E439" s="333">
        <v>0.24</v>
      </c>
      <c r="H439" s="73"/>
    </row>
    <row r="440" spans="1:9" x14ac:dyDescent="0.2">
      <c r="A440" s="72"/>
      <c r="H440" s="73"/>
    </row>
    <row r="441" spans="1:9" x14ac:dyDescent="0.2">
      <c r="A441" s="72"/>
      <c r="E441" s="333">
        <v>0.24</v>
      </c>
      <c r="H441" s="73"/>
    </row>
    <row r="442" spans="1:9" ht="17" thickBot="1" x14ac:dyDescent="0.25">
      <c r="A442" s="15"/>
      <c r="B442" s="16"/>
      <c r="C442" s="16"/>
      <c r="D442" s="16"/>
      <c r="E442" s="16"/>
      <c r="F442" s="16"/>
      <c r="G442" s="16"/>
      <c r="H442" s="17"/>
    </row>
    <row r="443" spans="1:9" ht="17" thickBot="1" x14ac:dyDescent="0.25"/>
    <row r="444" spans="1:9" x14ac:dyDescent="0.2">
      <c r="A444" s="12"/>
      <c r="B444" s="13"/>
      <c r="C444" s="13"/>
      <c r="D444" s="13"/>
      <c r="E444" s="13"/>
      <c r="F444" s="13"/>
      <c r="G444" s="13"/>
      <c r="H444" s="13"/>
      <c r="I444" s="14"/>
    </row>
    <row r="445" spans="1:9" x14ac:dyDescent="0.2">
      <c r="A445" s="72"/>
      <c r="I445" s="73"/>
    </row>
    <row r="446" spans="1:9" x14ac:dyDescent="0.2">
      <c r="A446" s="72" t="s">
        <v>2520</v>
      </c>
      <c r="I446" s="73"/>
    </row>
    <row r="447" spans="1:9" x14ac:dyDescent="0.2">
      <c r="A447" s="72"/>
      <c r="I447" s="73"/>
    </row>
    <row r="448" spans="1:9" x14ac:dyDescent="0.2">
      <c r="A448" s="72" t="s">
        <v>2522</v>
      </c>
      <c r="D448" s="1" t="s">
        <v>2527</v>
      </c>
      <c r="I448" s="73"/>
    </row>
    <row r="449" spans="1:9" x14ac:dyDescent="0.2">
      <c r="A449" s="72"/>
      <c r="I449" s="73"/>
    </row>
    <row r="450" spans="1:9" x14ac:dyDescent="0.2">
      <c r="A450" s="72" t="s">
        <v>2523</v>
      </c>
      <c r="I450" s="73"/>
    </row>
    <row r="451" spans="1:9" x14ac:dyDescent="0.2">
      <c r="A451" s="72" t="s">
        <v>2524</v>
      </c>
      <c r="I451" s="73"/>
    </row>
    <row r="452" spans="1:9" x14ac:dyDescent="0.2">
      <c r="A452" s="72"/>
      <c r="I452" s="73"/>
    </row>
    <row r="453" spans="1:9" x14ac:dyDescent="0.2">
      <c r="A453" s="72" t="s">
        <v>2525</v>
      </c>
      <c r="I453" s="73"/>
    </row>
    <row r="454" spans="1:9" x14ac:dyDescent="0.2">
      <c r="A454" s="72" t="s">
        <v>2526</v>
      </c>
      <c r="I454" s="73"/>
    </row>
    <row r="455" spans="1:9" x14ac:dyDescent="0.2">
      <c r="A455" s="72"/>
      <c r="I455" s="73"/>
    </row>
    <row r="456" spans="1:9" x14ac:dyDescent="0.2">
      <c r="A456" s="72"/>
      <c r="I456" s="73"/>
    </row>
    <row r="457" spans="1:9" x14ac:dyDescent="0.2">
      <c r="A457" s="72"/>
      <c r="I457" s="73"/>
    </row>
    <row r="458" spans="1:9" ht="17" thickBot="1" x14ac:dyDescent="0.25">
      <c r="A458" s="15"/>
      <c r="B458" s="16"/>
      <c r="C458" s="16"/>
      <c r="D458" s="16"/>
      <c r="E458" s="16"/>
      <c r="F458" s="16"/>
      <c r="G458" s="16"/>
      <c r="H458" s="16"/>
      <c r="I458" s="17"/>
    </row>
    <row r="460" spans="1:9" ht="17" thickBot="1" x14ac:dyDescent="0.25">
      <c r="A460" s="1" t="s">
        <v>2509</v>
      </c>
    </row>
    <row r="461" spans="1:9" x14ac:dyDescent="0.2">
      <c r="A461" s="12" t="s">
        <v>2481</v>
      </c>
      <c r="B461" s="13" t="s">
        <v>2482</v>
      </c>
      <c r="C461" s="13"/>
      <c r="D461" s="13"/>
      <c r="E461" s="13"/>
      <c r="F461" s="13"/>
      <c r="G461" s="13"/>
      <c r="H461" s="13" t="s">
        <v>2485</v>
      </c>
      <c r="I461" s="14"/>
    </row>
    <row r="462" spans="1:9" x14ac:dyDescent="0.2">
      <c r="A462" s="72"/>
      <c r="B462" s="1" t="s">
        <v>2483</v>
      </c>
      <c r="H462" s="1" t="s">
        <v>2521</v>
      </c>
      <c r="I462" s="73"/>
    </row>
    <row r="463" spans="1:9" x14ac:dyDescent="0.2">
      <c r="A463" s="72"/>
      <c r="B463" s="1" t="s">
        <v>2486</v>
      </c>
      <c r="I463" s="73"/>
    </row>
    <row r="464" spans="1:9" x14ac:dyDescent="0.2">
      <c r="A464" s="72"/>
      <c r="B464" s="1" t="s">
        <v>2487</v>
      </c>
      <c r="I464" s="73"/>
    </row>
    <row r="465" spans="1:9" x14ac:dyDescent="0.2">
      <c r="A465" s="72"/>
      <c r="I465" s="73"/>
    </row>
    <row r="466" spans="1:9" x14ac:dyDescent="0.2">
      <c r="A466" s="72"/>
      <c r="D466" s="27">
        <v>1</v>
      </c>
      <c r="E466" s="27"/>
      <c r="F466" s="27">
        <v>0</v>
      </c>
      <c r="I466" s="73"/>
    </row>
    <row r="467" spans="1:9" x14ac:dyDescent="0.2">
      <c r="A467" s="72"/>
      <c r="C467" s="1" t="s">
        <v>2511</v>
      </c>
      <c r="D467" s="69">
        <v>100</v>
      </c>
      <c r="E467" s="20"/>
      <c r="F467" s="20">
        <v>100</v>
      </c>
      <c r="G467" s="1" t="s">
        <v>1914</v>
      </c>
      <c r="I467" s="73"/>
    </row>
    <row r="468" spans="1:9" x14ac:dyDescent="0.2">
      <c r="A468" s="72"/>
      <c r="D468" s="20"/>
      <c r="E468" s="20"/>
      <c r="F468" s="20">
        <v>-17</v>
      </c>
      <c r="G468" s="1" t="s">
        <v>2510</v>
      </c>
      <c r="I468" s="73"/>
    </row>
    <row r="469" spans="1:9" x14ac:dyDescent="0.2">
      <c r="A469" s="72"/>
      <c r="D469" s="20"/>
      <c r="E469" s="20"/>
      <c r="F469" s="69">
        <f>F467+F468</f>
        <v>83</v>
      </c>
      <c r="G469" s="1" t="s">
        <v>1916</v>
      </c>
      <c r="I469" s="73"/>
    </row>
    <row r="470" spans="1:9" x14ac:dyDescent="0.2">
      <c r="A470" s="72"/>
      <c r="I470" s="73"/>
    </row>
    <row r="471" spans="1:9" x14ac:dyDescent="0.2">
      <c r="A471" s="72" t="s">
        <v>2512</v>
      </c>
      <c r="E471" s="496">
        <f>100/83-1</f>
        <v>0.20481927710843384</v>
      </c>
      <c r="I471" s="73"/>
    </row>
    <row r="472" spans="1:9" ht="17" thickBot="1" x14ac:dyDescent="0.25">
      <c r="A472" s="15"/>
      <c r="B472" s="16"/>
      <c r="C472" s="16"/>
      <c r="D472" s="16"/>
      <c r="E472" s="497"/>
      <c r="F472" s="16"/>
      <c r="G472" s="16"/>
      <c r="H472" s="16"/>
      <c r="I472" s="17"/>
    </row>
    <row r="474" spans="1:9" x14ac:dyDescent="0.2">
      <c r="A474" s="18" t="s">
        <v>2545</v>
      </c>
    </row>
    <row r="492" spans="1:8" x14ac:dyDescent="0.2">
      <c r="A492" s="175" t="s">
        <v>1458</v>
      </c>
      <c r="B492" s="174"/>
      <c r="C492" s="174"/>
      <c r="D492" s="174"/>
      <c r="E492" s="174"/>
      <c r="F492" s="174"/>
      <c r="G492" s="174"/>
      <c r="H492" s="174"/>
    </row>
    <row r="494" spans="1:8" x14ac:dyDescent="0.2">
      <c r="A494" s="1" t="s">
        <v>1525</v>
      </c>
    </row>
    <row r="496" spans="1:8" x14ac:dyDescent="0.2">
      <c r="A496" s="128" t="s">
        <v>1089</v>
      </c>
      <c r="B496" s="128">
        <v>0</v>
      </c>
      <c r="C496" s="128">
        <v>1</v>
      </c>
      <c r="D496" s="128">
        <v>2</v>
      </c>
    </row>
    <row r="497" spans="1:7" x14ac:dyDescent="0.2">
      <c r="A497" s="128" t="s">
        <v>1522</v>
      </c>
      <c r="B497" s="128">
        <v>-1000</v>
      </c>
      <c r="C497" s="128">
        <v>1200</v>
      </c>
      <c r="D497" s="128">
        <v>800</v>
      </c>
    </row>
    <row r="498" spans="1:7" x14ac:dyDescent="0.2">
      <c r="A498" s="128" t="s">
        <v>1523</v>
      </c>
      <c r="B498" s="128">
        <v>-1000</v>
      </c>
      <c r="C498" s="128">
        <v>500</v>
      </c>
      <c r="D498" s="128">
        <v>900</v>
      </c>
    </row>
    <row r="499" spans="1:7" x14ac:dyDescent="0.2">
      <c r="A499" s="128" t="s">
        <v>1524</v>
      </c>
      <c r="B499" s="128">
        <v>-1000</v>
      </c>
      <c r="C499" s="128">
        <v>200</v>
      </c>
      <c r="D499" s="128">
        <v>2000</v>
      </c>
    </row>
    <row r="501" spans="1:7" x14ac:dyDescent="0.2">
      <c r="A501" s="1" t="s">
        <v>1722</v>
      </c>
    </row>
    <row r="502" spans="1:7" x14ac:dyDescent="0.2">
      <c r="A502" s="1" t="s">
        <v>1526</v>
      </c>
    </row>
    <row r="504" spans="1:7" x14ac:dyDescent="0.2">
      <c r="A504" s="1" t="s">
        <v>1527</v>
      </c>
    </row>
    <row r="505" spans="1:7" x14ac:dyDescent="0.2">
      <c r="G505" s="1" t="s">
        <v>84</v>
      </c>
    </row>
    <row r="506" spans="1:7" x14ac:dyDescent="0.2">
      <c r="B506" s="20" t="s">
        <v>1524</v>
      </c>
      <c r="C506" s="20" t="s">
        <v>1523</v>
      </c>
      <c r="D506" s="20" t="s">
        <v>1522</v>
      </c>
      <c r="G506" s="1" t="s">
        <v>1723</v>
      </c>
    </row>
    <row r="507" spans="1:7" x14ac:dyDescent="0.2">
      <c r="B507" s="20">
        <f>B499</f>
        <v>-1000</v>
      </c>
      <c r="C507" s="20">
        <f>B498</f>
        <v>-1000</v>
      </c>
      <c r="D507" s="20">
        <f>B497</f>
        <v>-1000</v>
      </c>
      <c r="E507" s="1">
        <v>1</v>
      </c>
    </row>
    <row r="508" spans="1:7" x14ac:dyDescent="0.2">
      <c r="B508" s="20">
        <f>C499</f>
        <v>200</v>
      </c>
      <c r="C508" s="20">
        <f>C498</f>
        <v>500</v>
      </c>
      <c r="D508" s="20">
        <f>C497</f>
        <v>1200</v>
      </c>
      <c r="E508" s="1">
        <v>2</v>
      </c>
    </row>
    <row r="509" spans="1:7" x14ac:dyDescent="0.2">
      <c r="B509" s="20">
        <f>D499</f>
        <v>2000</v>
      </c>
      <c r="C509" s="20">
        <f>D498</f>
        <v>900</v>
      </c>
      <c r="D509" s="20">
        <f>D497</f>
        <v>800</v>
      </c>
      <c r="E509" s="1">
        <v>3</v>
      </c>
    </row>
    <row r="510" spans="1:7" x14ac:dyDescent="0.2">
      <c r="B510" s="20"/>
      <c r="C510" s="20"/>
      <c r="D510" s="20"/>
    </row>
    <row r="511" spans="1:7" x14ac:dyDescent="0.2">
      <c r="B511" s="67">
        <f>NPV(5%,B508:B509)+B507</f>
        <v>1004.5351473922899</v>
      </c>
      <c r="C511" s="24">
        <f>NPV(5%,C508:C509)+C507</f>
        <v>292.51700680272097</v>
      </c>
      <c r="D511" s="24">
        <f>NPV(5%,D508:D509)+D507</f>
        <v>868.48072562358266</v>
      </c>
      <c r="E511" s="1" t="s">
        <v>1528</v>
      </c>
      <c r="F511" s="1" t="s">
        <v>1724</v>
      </c>
    </row>
    <row r="512" spans="1:7" x14ac:dyDescent="0.2">
      <c r="C512" s="24"/>
      <c r="D512" s="24"/>
      <c r="F512" s="1" t="s">
        <v>1726</v>
      </c>
    </row>
    <row r="513" spans="1:6" x14ac:dyDescent="0.2">
      <c r="B513" s="67">
        <f>NPV(10%,B508:B509)+B507</f>
        <v>834.7107438016526</v>
      </c>
      <c r="C513" s="24">
        <f>NPV(10%,C508:C509)+C507</f>
        <v>198.34710743801634</v>
      </c>
      <c r="D513" s="24">
        <f>NPV(10%,D508:D509)+D507</f>
        <v>752.06611570247924</v>
      </c>
      <c r="E513" s="1" t="s">
        <v>1529</v>
      </c>
      <c r="F513" s="1" t="s">
        <v>1724</v>
      </c>
    </row>
    <row r="514" spans="1:6" x14ac:dyDescent="0.2">
      <c r="C514" s="24"/>
      <c r="D514" s="24"/>
      <c r="F514" s="1" t="s">
        <v>1726</v>
      </c>
    </row>
    <row r="515" spans="1:6" x14ac:dyDescent="0.2">
      <c r="B515" s="24">
        <f t="shared" ref="B515:C515" si="7">NPV(25%,B508:B509)+B507</f>
        <v>440</v>
      </c>
      <c r="C515" s="24">
        <f t="shared" si="7"/>
        <v>-24</v>
      </c>
      <c r="D515" s="67">
        <f>NPV(25%,D508:D509)+D507</f>
        <v>472</v>
      </c>
      <c r="E515" s="1" t="s">
        <v>1530</v>
      </c>
      <c r="F515" s="1" t="s">
        <v>1725</v>
      </c>
    </row>
    <row r="516" spans="1:6" x14ac:dyDescent="0.2">
      <c r="B516" s="24"/>
      <c r="C516" s="24"/>
      <c r="F516" s="1" t="s">
        <v>1727</v>
      </c>
    </row>
    <row r="518" spans="1:6" x14ac:dyDescent="0.2">
      <c r="A518" s="1" t="s">
        <v>1531</v>
      </c>
    </row>
    <row r="519" spans="1:6" x14ac:dyDescent="0.2">
      <c r="A519" s="1" t="s">
        <v>1532</v>
      </c>
    </row>
    <row r="520" spans="1:6" x14ac:dyDescent="0.2">
      <c r="A520" s="1" t="s">
        <v>1533</v>
      </c>
    </row>
    <row r="531" spans="1:8" x14ac:dyDescent="0.2">
      <c r="A531" s="1" t="s">
        <v>1728</v>
      </c>
    </row>
    <row r="534" spans="1:8" x14ac:dyDescent="0.2">
      <c r="A534" s="175" t="s">
        <v>1577</v>
      </c>
      <c r="B534" s="174"/>
      <c r="C534" s="174"/>
      <c r="D534" s="174"/>
      <c r="E534" s="174"/>
      <c r="F534" s="174"/>
      <c r="G534" s="174"/>
      <c r="H534" s="174"/>
    </row>
    <row r="548" spans="1:8" x14ac:dyDescent="0.2">
      <c r="A548" s="1" t="s">
        <v>2694</v>
      </c>
    </row>
    <row r="549" spans="1:8" x14ac:dyDescent="0.2">
      <c r="A549" s="1" t="s">
        <v>2695</v>
      </c>
    </row>
    <row r="550" spans="1:8" x14ac:dyDescent="0.2">
      <c r="A550" s="1" t="s">
        <v>2696</v>
      </c>
    </row>
    <row r="551" spans="1:8" x14ac:dyDescent="0.2">
      <c r="A551" s="1" t="s">
        <v>2697</v>
      </c>
    </row>
    <row r="552" spans="1:8" x14ac:dyDescent="0.2">
      <c r="A552" s="1" t="s">
        <v>2698</v>
      </c>
    </row>
    <row r="554" spans="1:8" x14ac:dyDescent="0.2">
      <c r="C554" s="20">
        <v>2.5</v>
      </c>
      <c r="G554" s="20">
        <v>0</v>
      </c>
    </row>
    <row r="555" spans="1:8" x14ac:dyDescent="0.2">
      <c r="C555" s="20"/>
      <c r="G555" s="20"/>
    </row>
    <row r="556" spans="1:8" x14ac:dyDescent="0.2">
      <c r="C556" s="24">
        <v>112000</v>
      </c>
      <c r="D556" s="1" t="s">
        <v>2693</v>
      </c>
      <c r="G556" s="24">
        <v>100000</v>
      </c>
      <c r="H556" s="1" t="s">
        <v>1914</v>
      </c>
    </row>
    <row r="558" spans="1:8" x14ac:dyDescent="0.2">
      <c r="D558" s="37">
        <v>0.12</v>
      </c>
      <c r="G558" s="1" t="s">
        <v>2699</v>
      </c>
    </row>
    <row r="560" spans="1:8" x14ac:dyDescent="0.2">
      <c r="A560" s="1" t="s">
        <v>2700</v>
      </c>
    </row>
    <row r="561" spans="1:8" x14ac:dyDescent="0.2">
      <c r="A561" s="1" t="s">
        <v>2701</v>
      </c>
    </row>
    <row r="563" spans="1:8" x14ac:dyDescent="0.2">
      <c r="D563" s="347">
        <f>(1+12%)^(1/2.5)-1</f>
        <v>4.6374648548560771E-2</v>
      </c>
    </row>
    <row r="567" spans="1:8" x14ac:dyDescent="0.2">
      <c r="A567" s="175" t="s">
        <v>1485</v>
      </c>
      <c r="B567" s="174"/>
      <c r="C567" s="174"/>
      <c r="D567" s="174"/>
      <c r="E567" s="174"/>
      <c r="F567" s="174"/>
      <c r="G567" s="174"/>
      <c r="H567" s="174"/>
    </row>
    <row r="582" spans="1:12" x14ac:dyDescent="0.2">
      <c r="A582" s="1" t="s">
        <v>1486</v>
      </c>
    </row>
    <row r="583" spans="1:12" x14ac:dyDescent="0.2">
      <c r="A583" s="1" t="s">
        <v>1487</v>
      </c>
    </row>
    <row r="584" spans="1:12" x14ac:dyDescent="0.2">
      <c r="A584" s="1" t="s">
        <v>1488</v>
      </c>
      <c r="H584" s="1" t="s">
        <v>19</v>
      </c>
    </row>
    <row r="585" spans="1:12" x14ac:dyDescent="0.2">
      <c r="A585" s="1" t="s">
        <v>2805</v>
      </c>
      <c r="H585" s="1" t="s">
        <v>362</v>
      </c>
      <c r="L585" s="1" t="s">
        <v>2808</v>
      </c>
    </row>
    <row r="586" spans="1:12" x14ac:dyDescent="0.2">
      <c r="L586" s="1" t="s">
        <v>2809</v>
      </c>
    </row>
    <row r="587" spans="1:12" x14ac:dyDescent="0.2">
      <c r="C587" s="1" t="s">
        <v>1732</v>
      </c>
      <c r="I587" s="1" t="s">
        <v>1731</v>
      </c>
    </row>
    <row r="589" spans="1:12" x14ac:dyDescent="0.2">
      <c r="B589" s="20" t="s">
        <v>1729</v>
      </c>
      <c r="C589" s="20">
        <v>13</v>
      </c>
      <c r="D589" s="20">
        <v>11</v>
      </c>
      <c r="E589" s="20">
        <v>9</v>
      </c>
      <c r="F589" s="20">
        <v>7</v>
      </c>
      <c r="G589" s="20">
        <v>5</v>
      </c>
      <c r="H589" s="20">
        <v>4</v>
      </c>
      <c r="I589" s="46">
        <v>3</v>
      </c>
      <c r="J589" s="20">
        <v>2</v>
      </c>
      <c r="K589" s="20">
        <v>1</v>
      </c>
      <c r="L589" s="20">
        <v>0</v>
      </c>
    </row>
    <row r="592" spans="1:12" x14ac:dyDescent="0.2">
      <c r="D592" s="20" t="s">
        <v>75</v>
      </c>
      <c r="E592" s="20" t="s">
        <v>61</v>
      </c>
      <c r="I592" s="20" t="s">
        <v>75</v>
      </c>
      <c r="J592" s="1" t="s">
        <v>61</v>
      </c>
      <c r="L592" s="20" t="s">
        <v>64</v>
      </c>
    </row>
    <row r="593" spans="1:12" x14ac:dyDescent="0.2">
      <c r="D593" s="20">
        <v>9999</v>
      </c>
      <c r="E593" s="20" t="s">
        <v>62</v>
      </c>
      <c r="F593" s="1" t="s">
        <v>1730</v>
      </c>
      <c r="I593" s="20">
        <v>4</v>
      </c>
      <c r="J593" s="1" t="s">
        <v>62</v>
      </c>
      <c r="L593" s="20" t="s">
        <v>2806</v>
      </c>
    </row>
    <row r="594" spans="1:12" x14ac:dyDescent="0.2">
      <c r="C594" s="1" t="s">
        <v>1733</v>
      </c>
      <c r="D594" s="20">
        <v>25.44</v>
      </c>
      <c r="E594" s="20" t="s">
        <v>63</v>
      </c>
      <c r="I594" s="20">
        <v>12</v>
      </c>
      <c r="J594" s="1" t="s">
        <v>63</v>
      </c>
      <c r="L594" s="20" t="s">
        <v>1940</v>
      </c>
    </row>
    <row r="595" spans="1:12" x14ac:dyDescent="0.2">
      <c r="D595" s="50">
        <f>-5000/0.2544</f>
        <v>-19654.088050314465</v>
      </c>
      <c r="E595" s="20" t="s">
        <v>64</v>
      </c>
      <c r="F595" s="1" t="s">
        <v>1164</v>
      </c>
      <c r="I595" s="20" t="s">
        <v>306</v>
      </c>
      <c r="J595" s="1" t="s">
        <v>64</v>
      </c>
      <c r="L595" s="20" t="s">
        <v>2807</v>
      </c>
    </row>
    <row r="596" spans="1:12" x14ac:dyDescent="0.2">
      <c r="D596" s="20">
        <v>5000</v>
      </c>
      <c r="E596" s="20" t="s">
        <v>65</v>
      </c>
      <c r="I596" s="20">
        <v>7000</v>
      </c>
      <c r="J596" s="1" t="s">
        <v>65</v>
      </c>
    </row>
    <row r="597" spans="1:12" x14ac:dyDescent="0.2">
      <c r="I597" s="20"/>
    </row>
    <row r="598" spans="1:12" x14ac:dyDescent="0.2">
      <c r="I598" s="20"/>
    </row>
    <row r="599" spans="1:12" x14ac:dyDescent="0.2">
      <c r="A599" s="1" t="s">
        <v>1489</v>
      </c>
    </row>
    <row r="600" spans="1:12" x14ac:dyDescent="0.2">
      <c r="A600" s="1" t="s">
        <v>1490</v>
      </c>
    </row>
    <row r="601" spans="1:12" x14ac:dyDescent="0.2">
      <c r="A601" s="1" t="s">
        <v>1491</v>
      </c>
    </row>
    <row r="602" spans="1:12" x14ac:dyDescent="0.2">
      <c r="A602" s="1" t="s">
        <v>1492</v>
      </c>
    </row>
    <row r="603" spans="1:12" x14ac:dyDescent="0.2">
      <c r="A603" s="1" t="s">
        <v>1493</v>
      </c>
    </row>
    <row r="604" spans="1:12" x14ac:dyDescent="0.2">
      <c r="A604" s="1" t="s">
        <v>1496</v>
      </c>
    </row>
    <row r="605" spans="1:12" x14ac:dyDescent="0.2">
      <c r="A605" s="1" t="s">
        <v>1497</v>
      </c>
    </row>
    <row r="606" spans="1:12" x14ac:dyDescent="0.2">
      <c r="A606" s="1" t="s">
        <v>1498</v>
      </c>
    </row>
    <row r="607" spans="1:12" x14ac:dyDescent="0.2">
      <c r="A607" s="1" t="s">
        <v>1499</v>
      </c>
    </row>
    <row r="608" spans="1:12" x14ac:dyDescent="0.2">
      <c r="A608" s="1" t="s">
        <v>1500</v>
      </c>
    </row>
    <row r="610" spans="1:9" x14ac:dyDescent="0.2">
      <c r="C610" s="1" t="s">
        <v>1746</v>
      </c>
      <c r="F610" s="1" t="s">
        <v>1734</v>
      </c>
    </row>
    <row r="611" spans="1:9" x14ac:dyDescent="0.2">
      <c r="C611" s="1" t="s">
        <v>1747</v>
      </c>
      <c r="F611" s="1" t="s">
        <v>1735</v>
      </c>
    </row>
    <row r="613" spans="1:9" ht="17" thickBot="1" x14ac:dyDescent="0.25">
      <c r="F613" s="20" t="s">
        <v>1494</v>
      </c>
      <c r="G613" s="20" t="s">
        <v>1494</v>
      </c>
      <c r="H613" s="20"/>
    </row>
    <row r="614" spans="1:9" x14ac:dyDescent="0.2">
      <c r="C614" s="20" t="s">
        <v>1495</v>
      </c>
      <c r="D614" s="1" t="s">
        <v>60</v>
      </c>
      <c r="F614" s="195" t="s">
        <v>1501</v>
      </c>
      <c r="G614" s="196" t="s">
        <v>2810</v>
      </c>
      <c r="H614" s="20" t="s">
        <v>60</v>
      </c>
    </row>
    <row r="615" spans="1:9" x14ac:dyDescent="0.2">
      <c r="C615" s="20" t="s">
        <v>75</v>
      </c>
      <c r="D615" s="1" t="s">
        <v>111</v>
      </c>
      <c r="F615" s="20" t="s">
        <v>75</v>
      </c>
      <c r="G615" s="20" t="s">
        <v>75</v>
      </c>
      <c r="H615" s="20" t="s">
        <v>111</v>
      </c>
    </row>
    <row r="616" spans="1:9" x14ac:dyDescent="0.2">
      <c r="C616" s="20">
        <v>4</v>
      </c>
      <c r="D616" s="1" t="s">
        <v>62</v>
      </c>
      <c r="F616" s="20">
        <v>3</v>
      </c>
      <c r="G616" s="20">
        <v>999</v>
      </c>
      <c r="H616" s="20" t="s">
        <v>62</v>
      </c>
    </row>
    <row r="617" spans="1:9" x14ac:dyDescent="0.2">
      <c r="C617" s="20">
        <v>12</v>
      </c>
      <c r="D617" s="1" t="s">
        <v>63</v>
      </c>
      <c r="F617" s="20">
        <v>12</v>
      </c>
      <c r="G617" s="20">
        <f>(1.12^2-1)*100</f>
        <v>25.440000000000019</v>
      </c>
      <c r="H617" s="20" t="s">
        <v>63</v>
      </c>
    </row>
    <row r="618" spans="1:9" x14ac:dyDescent="0.2">
      <c r="C618" s="54">
        <f>PV(C617/100,C616,C619,C620)</f>
        <v>-21261.445426384849</v>
      </c>
      <c r="D618" s="1" t="s">
        <v>64</v>
      </c>
      <c r="F618" s="199">
        <f>PV(F617/100,F616,F619,F620)</f>
        <v>-13989.39166299942</v>
      </c>
      <c r="G618" s="197">
        <f>PV(G617/100,G616,G619,G620)</f>
        <v>-19654.088050314454</v>
      </c>
      <c r="H618" s="20" t="s">
        <v>64</v>
      </c>
      <c r="I618" s="1" t="s">
        <v>456</v>
      </c>
    </row>
    <row r="619" spans="1:9" x14ac:dyDescent="0.2">
      <c r="A619" s="1" t="s">
        <v>1748</v>
      </c>
      <c r="C619" s="20">
        <v>7000</v>
      </c>
      <c r="D619" s="1" t="s">
        <v>65</v>
      </c>
      <c r="F619" s="20">
        <v>0</v>
      </c>
      <c r="G619" s="20">
        <v>5000</v>
      </c>
      <c r="H619" s="20" t="s">
        <v>65</v>
      </c>
    </row>
    <row r="620" spans="1:9" x14ac:dyDescent="0.2">
      <c r="A620" s="1" t="s">
        <v>1749</v>
      </c>
      <c r="C620" s="30">
        <v>0</v>
      </c>
      <c r="D620" s="1" t="s">
        <v>66</v>
      </c>
      <c r="F620" s="198">
        <f>-G618</f>
        <v>19654.088050314454</v>
      </c>
      <c r="G620" s="20">
        <v>0</v>
      </c>
      <c r="H620" s="20" t="s">
        <v>66</v>
      </c>
    </row>
    <row r="621" spans="1:9" x14ac:dyDescent="0.2">
      <c r="A621" s="1" t="s">
        <v>1750</v>
      </c>
    </row>
    <row r="622" spans="1:9" x14ac:dyDescent="0.2">
      <c r="A622" s="1" t="s">
        <v>1751</v>
      </c>
    </row>
    <row r="623" spans="1:9" x14ac:dyDescent="0.2">
      <c r="A623" s="1" t="s">
        <v>1752</v>
      </c>
      <c r="F623" s="1" t="s">
        <v>1740</v>
      </c>
      <c r="G623" s="1" t="s">
        <v>1736</v>
      </c>
    </row>
    <row r="624" spans="1:9" x14ac:dyDescent="0.2">
      <c r="F624" s="1" t="s">
        <v>1741</v>
      </c>
      <c r="G624" s="1" t="s">
        <v>1737</v>
      </c>
    </row>
    <row r="625" spans="1:8" x14ac:dyDescent="0.2">
      <c r="F625" s="1" t="s">
        <v>489</v>
      </c>
      <c r="G625" s="1" t="s">
        <v>1738</v>
      </c>
    </row>
    <row r="626" spans="1:8" x14ac:dyDescent="0.2">
      <c r="F626" s="1" t="s">
        <v>1742</v>
      </c>
      <c r="G626" s="1" t="s">
        <v>1739</v>
      </c>
    </row>
    <row r="627" spans="1:8" x14ac:dyDescent="0.2">
      <c r="A627" s="1" t="s">
        <v>1502</v>
      </c>
      <c r="F627" s="1" t="s">
        <v>1743</v>
      </c>
    </row>
    <row r="628" spans="1:8" x14ac:dyDescent="0.2">
      <c r="B628" s="1" t="s">
        <v>362</v>
      </c>
      <c r="D628" s="365">
        <f>-F618</f>
        <v>13989.39166299942</v>
      </c>
      <c r="F628" s="1" t="s">
        <v>1744</v>
      </c>
    </row>
    <row r="629" spans="1:8" ht="17" thickBot="1" x14ac:dyDescent="0.25">
      <c r="B629" s="1" t="s">
        <v>1503</v>
      </c>
      <c r="D629" s="365">
        <f>-C618</f>
        <v>21261.445426384849</v>
      </c>
      <c r="F629" s="1" t="s">
        <v>1745</v>
      </c>
    </row>
    <row r="630" spans="1:8" ht="17" thickBot="1" x14ac:dyDescent="0.25">
      <c r="B630" s="1" t="s">
        <v>259</v>
      </c>
      <c r="D630" s="200">
        <f>D628+D629</f>
        <v>35250.837089384266</v>
      </c>
    </row>
    <row r="632" spans="1:8" x14ac:dyDescent="0.2">
      <c r="A632" s="18" t="s">
        <v>1504</v>
      </c>
    </row>
    <row r="633" spans="1:8" x14ac:dyDescent="0.2">
      <c r="A633" s="1" t="s">
        <v>1505</v>
      </c>
    </row>
    <row r="634" spans="1:8" x14ac:dyDescent="0.2">
      <c r="A634" s="1" t="s">
        <v>1506</v>
      </c>
    </row>
    <row r="635" spans="1:8" x14ac:dyDescent="0.2">
      <c r="A635" s="1" t="s">
        <v>1507</v>
      </c>
    </row>
    <row r="636" spans="1:8" x14ac:dyDescent="0.2">
      <c r="A636" s="1" t="s">
        <v>1508</v>
      </c>
    </row>
    <row r="639" spans="1:8" x14ac:dyDescent="0.2">
      <c r="A639" s="175" t="s">
        <v>1226</v>
      </c>
      <c r="B639" s="174"/>
      <c r="C639" s="174"/>
      <c r="D639" s="174"/>
      <c r="E639" s="174"/>
      <c r="F639" s="174"/>
      <c r="G639" s="174"/>
      <c r="H639" s="174"/>
    </row>
    <row r="641" spans="1:13" x14ac:dyDescent="0.2">
      <c r="A641" s="1" t="s">
        <v>1547</v>
      </c>
    </row>
    <row r="642" spans="1:13" x14ac:dyDescent="0.2">
      <c r="A642" s="1" t="s">
        <v>1548</v>
      </c>
    </row>
    <row r="643" spans="1:13" x14ac:dyDescent="0.2">
      <c r="A643" s="1" t="s">
        <v>1549</v>
      </c>
    </row>
    <row r="645" spans="1:13" x14ac:dyDescent="0.2">
      <c r="A645" s="1" t="s">
        <v>146</v>
      </c>
    </row>
    <row r="647" spans="1:13" x14ac:dyDescent="0.2">
      <c r="A647" s="1" t="s">
        <v>1555</v>
      </c>
    </row>
    <row r="648" spans="1:13" x14ac:dyDescent="0.2">
      <c r="A648" s="1" t="s">
        <v>1556</v>
      </c>
    </row>
    <row r="649" spans="1:13" x14ac:dyDescent="0.2">
      <c r="A649" s="1" t="s">
        <v>1550</v>
      </c>
    </row>
    <row r="650" spans="1:13" x14ac:dyDescent="0.2">
      <c r="A650" s="1" t="s">
        <v>1557</v>
      </c>
      <c r="J650" s="1" t="s">
        <v>739</v>
      </c>
      <c r="K650" s="1" t="s">
        <v>216</v>
      </c>
      <c r="L650" s="1" t="s">
        <v>1755</v>
      </c>
      <c r="M650" s="1" t="s">
        <v>1754</v>
      </c>
    </row>
    <row r="651" spans="1:13" ht="17" thickBot="1" x14ac:dyDescent="0.25">
      <c r="J651" s="1">
        <v>0</v>
      </c>
      <c r="M651" s="3">
        <v>5000</v>
      </c>
    </row>
    <row r="652" spans="1:13" ht="17" thickBot="1" x14ac:dyDescent="0.25">
      <c r="A652" s="1" t="s">
        <v>1551</v>
      </c>
      <c r="J652" s="1">
        <v>1</v>
      </c>
      <c r="K652" s="1">
        <f>M651*6%</f>
        <v>300</v>
      </c>
      <c r="L652" s="1">
        <f>1000-K652</f>
        <v>700</v>
      </c>
      <c r="M652" s="201">
        <f>M651-L652</f>
        <v>4300</v>
      </c>
    </row>
    <row r="653" spans="1:13" x14ac:dyDescent="0.2">
      <c r="A653" s="1" t="s">
        <v>1753</v>
      </c>
    </row>
    <row r="654" spans="1:13" x14ac:dyDescent="0.2">
      <c r="A654" s="1" t="s">
        <v>1552</v>
      </c>
      <c r="F654" s="1">
        <f>5000*(1+6%)</f>
        <v>5300</v>
      </c>
    </row>
    <row r="655" spans="1:13" x14ac:dyDescent="0.2">
      <c r="A655" s="1" t="s">
        <v>1553</v>
      </c>
      <c r="F655" s="1">
        <f>F654-1000</f>
        <v>4300</v>
      </c>
    </row>
    <row r="656" spans="1:13" x14ac:dyDescent="0.2">
      <c r="A656" s="1" t="s">
        <v>1554</v>
      </c>
      <c r="M656" s="1" t="s">
        <v>1756</v>
      </c>
    </row>
    <row r="657" spans="1:13" x14ac:dyDescent="0.2">
      <c r="M657" s="1" t="s">
        <v>1757</v>
      </c>
    </row>
    <row r="658" spans="1:13" x14ac:dyDescent="0.2">
      <c r="E658" s="20"/>
      <c r="F658" s="20" t="s">
        <v>60</v>
      </c>
    </row>
    <row r="659" spans="1:13" x14ac:dyDescent="0.2">
      <c r="E659" s="20" t="s">
        <v>75</v>
      </c>
      <c r="F659" s="20" t="s">
        <v>111</v>
      </c>
    </row>
    <row r="660" spans="1:13" x14ac:dyDescent="0.2">
      <c r="E660" s="20">
        <v>9</v>
      </c>
      <c r="F660" s="20" t="s">
        <v>62</v>
      </c>
      <c r="G660" s="1" t="s">
        <v>1758</v>
      </c>
    </row>
    <row r="661" spans="1:13" x14ac:dyDescent="0.2">
      <c r="E661" s="20">
        <v>6</v>
      </c>
      <c r="F661" s="20" t="s">
        <v>63</v>
      </c>
      <c r="G661" s="1" t="s">
        <v>513</v>
      </c>
    </row>
    <row r="662" spans="1:13" x14ac:dyDescent="0.2">
      <c r="E662" s="20">
        <f>F655</f>
        <v>4300</v>
      </c>
      <c r="F662" s="20" t="s">
        <v>64</v>
      </c>
      <c r="G662" s="1" t="s">
        <v>1759</v>
      </c>
    </row>
    <row r="663" spans="1:13" x14ac:dyDescent="0.2">
      <c r="E663" s="202">
        <f>PMT(E661/100,E660,E662,E664)</f>
        <v>-632.19561051317396</v>
      </c>
      <c r="F663" s="20" t="s">
        <v>65</v>
      </c>
      <c r="G663" s="1" t="s">
        <v>77</v>
      </c>
    </row>
    <row r="664" spans="1:13" x14ac:dyDescent="0.2">
      <c r="E664" s="20">
        <v>0</v>
      </c>
      <c r="F664" s="20" t="s">
        <v>66</v>
      </c>
      <c r="G664" s="1" t="s">
        <v>1760</v>
      </c>
    </row>
    <row r="666" spans="1:13" x14ac:dyDescent="0.2">
      <c r="A666" s="175" t="s">
        <v>1240</v>
      </c>
      <c r="B666" s="174"/>
      <c r="C666" s="174"/>
      <c r="D666" s="174"/>
      <c r="E666" s="174"/>
      <c r="F666" s="174"/>
      <c r="G666" s="174"/>
      <c r="H666" s="174"/>
    </row>
    <row r="668" spans="1:13" x14ac:dyDescent="0.2">
      <c r="A668" s="1" t="s">
        <v>1558</v>
      </c>
    </row>
    <row r="669" spans="1:13" x14ac:dyDescent="0.2">
      <c r="A669" s="1" t="s">
        <v>1560</v>
      </c>
    </row>
    <row r="671" spans="1:13" x14ac:dyDescent="0.2">
      <c r="A671" s="1" t="s">
        <v>1559</v>
      </c>
    </row>
    <row r="672" spans="1:13" x14ac:dyDescent="0.2">
      <c r="E672" s="178">
        <f>(1+6.12%)^(1/3)-1</f>
        <v>1.9997436876809216E-2</v>
      </c>
    </row>
    <row r="674" spans="1:6" x14ac:dyDescent="0.2">
      <c r="A674" s="1" t="s">
        <v>1561</v>
      </c>
    </row>
    <row r="675" spans="1:6" x14ac:dyDescent="0.2">
      <c r="A675" s="1" t="s">
        <v>1562</v>
      </c>
    </row>
    <row r="676" spans="1:6" x14ac:dyDescent="0.2">
      <c r="A676" s="1" t="s">
        <v>1563</v>
      </c>
    </row>
    <row r="679" spans="1:6" x14ac:dyDescent="0.2">
      <c r="D679" s="20" t="s">
        <v>1568</v>
      </c>
      <c r="E679" s="20" t="s">
        <v>1567</v>
      </c>
      <c r="F679" s="1" t="s">
        <v>60</v>
      </c>
    </row>
    <row r="680" spans="1:6" x14ac:dyDescent="0.2">
      <c r="D680" s="20" t="s">
        <v>75</v>
      </c>
      <c r="E680" s="20" t="s">
        <v>75</v>
      </c>
      <c r="F680" s="1" t="s">
        <v>111</v>
      </c>
    </row>
    <row r="681" spans="1:6" x14ac:dyDescent="0.2">
      <c r="D681" s="20">
        <v>1</v>
      </c>
      <c r="E681" s="20">
        <v>36</v>
      </c>
      <c r="F681" s="1" t="s">
        <v>62</v>
      </c>
    </row>
    <row r="682" spans="1:6" x14ac:dyDescent="0.2">
      <c r="D682" s="20">
        <f>E682</f>
        <v>2</v>
      </c>
      <c r="E682" s="20">
        <v>2</v>
      </c>
      <c r="F682" s="1" t="s">
        <v>63</v>
      </c>
    </row>
    <row r="683" spans="1:6" x14ac:dyDescent="0.2">
      <c r="D683" s="20">
        <v>0</v>
      </c>
      <c r="E683" s="20">
        <v>-1000</v>
      </c>
      <c r="F683" s="1" t="s">
        <v>1564</v>
      </c>
    </row>
    <row r="684" spans="1:6" x14ac:dyDescent="0.2">
      <c r="D684" s="67">
        <f>PV(D682/100,D681,D683,D685)</f>
        <v>24989.061257242531</v>
      </c>
      <c r="E684" s="24">
        <f>PV(E682/100,E681,E683,E685)</f>
        <v>25488.842482387383</v>
      </c>
      <c r="F684" s="1" t="s">
        <v>1565</v>
      </c>
    </row>
    <row r="685" spans="1:6" x14ac:dyDescent="0.2">
      <c r="D685" s="24">
        <f>-E684</f>
        <v>-25488.842482387383</v>
      </c>
      <c r="E685" s="24">
        <v>0</v>
      </c>
      <c r="F685" s="1" t="s">
        <v>1566</v>
      </c>
    </row>
    <row r="705" spans="1:9" x14ac:dyDescent="0.2">
      <c r="A705" s="1" t="s">
        <v>146</v>
      </c>
    </row>
    <row r="706" spans="1:9" x14ac:dyDescent="0.2">
      <c r="A706" s="1" t="s">
        <v>2702</v>
      </c>
    </row>
    <row r="707" spans="1:9" x14ac:dyDescent="0.2">
      <c r="A707" s="1" t="s">
        <v>2703</v>
      </c>
    </row>
    <row r="708" spans="1:9" x14ac:dyDescent="0.2">
      <c r="A708" s="1" t="s">
        <v>2704</v>
      </c>
    </row>
    <row r="709" spans="1:9" x14ac:dyDescent="0.2">
      <c r="A709" s="1" t="s">
        <v>2705</v>
      </c>
    </row>
    <row r="711" spans="1:9" x14ac:dyDescent="0.2">
      <c r="A711" s="1" t="s">
        <v>2706</v>
      </c>
    </row>
    <row r="713" spans="1:9" x14ac:dyDescent="0.2">
      <c r="B713" s="1" t="s">
        <v>2707</v>
      </c>
    </row>
    <row r="714" spans="1:9" x14ac:dyDescent="0.2">
      <c r="B714" s="1" t="s">
        <v>2708</v>
      </c>
      <c r="H714" s="37">
        <v>0.05</v>
      </c>
      <c r="I714" s="1" t="s">
        <v>2709</v>
      </c>
    </row>
    <row r="716" spans="1:9" x14ac:dyDescent="0.2">
      <c r="B716" s="1" t="s">
        <v>2710</v>
      </c>
    </row>
    <row r="717" spans="1:9" x14ac:dyDescent="0.2">
      <c r="G717" s="168">
        <f>1.05^4-1</f>
        <v>0.21550625000000001</v>
      </c>
      <c r="I717" s="1" t="s">
        <v>2711</v>
      </c>
    </row>
    <row r="719" spans="1:9" x14ac:dyDescent="0.2">
      <c r="A719" s="1" t="s">
        <v>2712</v>
      </c>
    </row>
    <row r="727" spans="3:3" x14ac:dyDescent="0.2">
      <c r="C727" s="234">
        <f>(1.21551/1.15)-1</f>
        <v>5.6965217391304446E-2</v>
      </c>
    </row>
    <row r="745" spans="1:2" x14ac:dyDescent="0.2">
      <c r="A745" s="1" t="s">
        <v>2713</v>
      </c>
    </row>
    <row r="746" spans="1:2" x14ac:dyDescent="0.2">
      <c r="A746" s="1" t="s">
        <v>2714</v>
      </c>
      <c r="B746" s="1" t="s">
        <v>2715</v>
      </c>
    </row>
    <row r="747" spans="1:2" x14ac:dyDescent="0.2">
      <c r="B747" s="1" t="s">
        <v>2716</v>
      </c>
    </row>
    <row r="748" spans="1:2" x14ac:dyDescent="0.2">
      <c r="B748" s="1" t="s">
        <v>2717</v>
      </c>
    </row>
    <row r="749" spans="1:2" x14ac:dyDescent="0.2">
      <c r="B749" s="1" t="s">
        <v>2718</v>
      </c>
    </row>
    <row r="750" spans="1:2" x14ac:dyDescent="0.2">
      <c r="B750" s="1" t="s">
        <v>2719</v>
      </c>
    </row>
    <row r="765" spans="1:9" ht="17" thickBot="1" x14ac:dyDescent="0.25"/>
    <row r="766" spans="1:9" x14ac:dyDescent="0.2">
      <c r="A766" s="12" t="s">
        <v>2481</v>
      </c>
      <c r="B766" s="13" t="s">
        <v>2482</v>
      </c>
      <c r="C766" s="13"/>
      <c r="D766" s="13"/>
      <c r="E766" s="13"/>
      <c r="F766" s="13"/>
      <c r="G766" s="13"/>
      <c r="H766" s="13" t="s">
        <v>2485</v>
      </c>
      <c r="I766" s="14"/>
    </row>
    <row r="767" spans="1:9" x14ac:dyDescent="0.2">
      <c r="A767" s="72"/>
      <c r="B767" s="1" t="s">
        <v>2483</v>
      </c>
      <c r="H767" s="18" t="s">
        <v>2519</v>
      </c>
      <c r="I767" s="73"/>
    </row>
    <row r="768" spans="1:9" x14ac:dyDescent="0.2">
      <c r="A768" s="72"/>
      <c r="B768" s="1" t="s">
        <v>2486</v>
      </c>
      <c r="I768" s="73"/>
    </row>
    <row r="769" spans="1:9" x14ac:dyDescent="0.2">
      <c r="A769" s="72"/>
      <c r="B769" s="1" t="s">
        <v>2487</v>
      </c>
      <c r="I769" s="73"/>
    </row>
    <row r="770" spans="1:9" x14ac:dyDescent="0.2">
      <c r="A770" s="72"/>
      <c r="I770" s="73"/>
    </row>
    <row r="771" spans="1:9" x14ac:dyDescent="0.2">
      <c r="A771" s="72" t="s">
        <v>2484</v>
      </c>
      <c r="B771" s="1" t="s">
        <v>2494</v>
      </c>
      <c r="H771" s="1" t="s">
        <v>2497</v>
      </c>
      <c r="I771" s="73"/>
    </row>
    <row r="772" spans="1:9" x14ac:dyDescent="0.2">
      <c r="A772" s="72"/>
      <c r="B772" s="1" t="s">
        <v>2495</v>
      </c>
      <c r="I772" s="73"/>
    </row>
    <row r="773" spans="1:9" x14ac:dyDescent="0.2">
      <c r="A773" s="72"/>
      <c r="B773" s="1" t="s">
        <v>2496</v>
      </c>
      <c r="I773" s="73"/>
    </row>
    <row r="774" spans="1:9" x14ac:dyDescent="0.2">
      <c r="A774" s="72"/>
      <c r="I774" s="73"/>
    </row>
    <row r="775" spans="1:9" x14ac:dyDescent="0.2">
      <c r="A775" s="72" t="s">
        <v>2513</v>
      </c>
      <c r="B775" s="1" t="s">
        <v>2514</v>
      </c>
      <c r="I775" s="73"/>
    </row>
    <row r="776" spans="1:9" x14ac:dyDescent="0.2">
      <c r="A776" s="72"/>
      <c r="B776" s="1" t="s">
        <v>2515</v>
      </c>
      <c r="I776" s="73"/>
    </row>
    <row r="777" spans="1:9" x14ac:dyDescent="0.2">
      <c r="A777" s="72"/>
      <c r="B777" s="1" t="s">
        <v>2516</v>
      </c>
      <c r="I777" s="73"/>
    </row>
    <row r="778" spans="1:9" x14ac:dyDescent="0.2">
      <c r="A778" s="72"/>
      <c r="B778" s="1" t="s">
        <v>2517</v>
      </c>
      <c r="I778" s="73"/>
    </row>
    <row r="779" spans="1:9" x14ac:dyDescent="0.2">
      <c r="A779" s="72"/>
      <c r="B779" s="1" t="s">
        <v>2518</v>
      </c>
      <c r="I779" s="73"/>
    </row>
    <row r="780" spans="1:9" x14ac:dyDescent="0.2">
      <c r="A780" s="72"/>
      <c r="I780" s="73"/>
    </row>
    <row r="781" spans="1:9" x14ac:dyDescent="0.2">
      <c r="A781" s="72" t="s">
        <v>2528</v>
      </c>
      <c r="B781" s="1" t="s">
        <v>2529</v>
      </c>
      <c r="I781" s="73"/>
    </row>
    <row r="782" spans="1:9" x14ac:dyDescent="0.2">
      <c r="A782" s="72"/>
      <c r="B782" s="1" t="s">
        <v>2530</v>
      </c>
      <c r="I782" s="73"/>
    </row>
    <row r="783" spans="1:9" x14ac:dyDescent="0.2">
      <c r="A783" s="72"/>
      <c r="B783" s="1" t="s">
        <v>2531</v>
      </c>
      <c r="I783" s="73"/>
    </row>
    <row r="784" spans="1:9" ht="17" thickBot="1" x14ac:dyDescent="0.25">
      <c r="A784" s="15"/>
      <c r="B784" s="16" t="s">
        <v>2532</v>
      </c>
      <c r="C784" s="16"/>
      <c r="D784" s="16"/>
      <c r="E784" s="16"/>
      <c r="F784" s="16"/>
      <c r="G784" s="16"/>
      <c r="H784" s="16"/>
      <c r="I784" s="17"/>
    </row>
    <row r="785" spans="1:9" x14ac:dyDescent="0.2">
      <c r="A785" s="72"/>
      <c r="I785" s="73"/>
    </row>
    <row r="786" spans="1:9" x14ac:dyDescent="0.2">
      <c r="A786" s="72" t="s">
        <v>2548</v>
      </c>
      <c r="B786" s="1" t="s">
        <v>2549</v>
      </c>
      <c r="I786" s="73"/>
    </row>
    <row r="787" spans="1:9" x14ac:dyDescent="0.2">
      <c r="A787" s="72"/>
      <c r="B787" s="1" t="s">
        <v>2550</v>
      </c>
      <c r="I787" s="73"/>
    </row>
    <row r="788" spans="1:9" x14ac:dyDescent="0.2">
      <c r="A788" s="72"/>
      <c r="B788" s="18" t="s">
        <v>2551</v>
      </c>
      <c r="I788" s="73"/>
    </row>
    <row r="789" spans="1:9" x14ac:dyDescent="0.2">
      <c r="A789" s="72"/>
      <c r="B789" s="18" t="s">
        <v>2552</v>
      </c>
      <c r="I789" s="73"/>
    </row>
    <row r="790" spans="1:9" ht="17" thickBot="1" x14ac:dyDescent="0.25">
      <c r="A790" s="15"/>
      <c r="B790" s="334" t="s">
        <v>2553</v>
      </c>
      <c r="C790" s="16"/>
      <c r="D790" s="16"/>
      <c r="E790" s="16"/>
      <c r="F790" s="16"/>
      <c r="G790" s="16"/>
      <c r="H790" s="16"/>
      <c r="I790" s="17"/>
    </row>
  </sheetData>
  <mergeCells count="2">
    <mergeCell ref="A1:H1"/>
    <mergeCell ref="E471:E472"/>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835816-0616-354C-956A-735F0B5C23AC}">
  <dimension ref="A1:J319"/>
  <sheetViews>
    <sheetView rightToLeft="1" zoomScale="232" zoomScaleNormal="350" workbookViewId="0">
      <selection activeCell="L193" sqref="L193"/>
    </sheetView>
  </sheetViews>
  <sheetFormatPr baseColWidth="10" defaultRowHeight="16" x14ac:dyDescent="0.2"/>
  <cols>
    <col min="1" max="1" width="10.83203125" style="1"/>
    <col min="2" max="2" width="11.5" style="1" customWidth="1"/>
    <col min="3" max="6" width="10.83203125" style="1"/>
    <col min="7" max="7" width="11.83203125" style="1" customWidth="1"/>
    <col min="8" max="16384" width="10.83203125" style="1"/>
  </cols>
  <sheetData>
    <row r="1" spans="1:8" x14ac:dyDescent="0.2">
      <c r="A1" s="477" t="s">
        <v>1427</v>
      </c>
      <c r="B1" s="477"/>
      <c r="C1" s="477"/>
      <c r="D1" s="477"/>
      <c r="E1" s="477"/>
      <c r="F1" s="477"/>
      <c r="G1" s="477"/>
      <c r="H1" s="477"/>
    </row>
    <row r="3" spans="1:8" x14ac:dyDescent="0.2">
      <c r="A3" s="18" t="s">
        <v>1191</v>
      </c>
    </row>
    <row r="16" spans="1:8" x14ac:dyDescent="0.2">
      <c r="D16" s="20" t="s">
        <v>1936</v>
      </c>
      <c r="E16" s="26">
        <v>16</v>
      </c>
      <c r="F16" s="20">
        <v>15</v>
      </c>
      <c r="G16" s="20">
        <v>1</v>
      </c>
      <c r="H16" s="20">
        <v>0</v>
      </c>
    </row>
    <row r="17" spans="2:8" x14ac:dyDescent="0.2">
      <c r="F17" s="20"/>
      <c r="G17" s="20"/>
      <c r="H17" s="20"/>
    </row>
    <row r="18" spans="2:8" x14ac:dyDescent="0.2">
      <c r="F18" s="20"/>
      <c r="G18" s="20"/>
      <c r="H18" s="20">
        <v>-1500</v>
      </c>
    </row>
    <row r="19" spans="2:8" x14ac:dyDescent="0.2">
      <c r="D19" s="20" t="s">
        <v>75</v>
      </c>
      <c r="E19" s="20" t="s">
        <v>111</v>
      </c>
      <c r="F19" s="20" t="s">
        <v>75</v>
      </c>
      <c r="G19" s="20" t="s">
        <v>111</v>
      </c>
      <c r="H19" s="20"/>
    </row>
    <row r="20" spans="2:8" x14ac:dyDescent="0.2">
      <c r="D20" s="20">
        <v>999999</v>
      </c>
      <c r="E20" s="20" t="s">
        <v>62</v>
      </c>
      <c r="F20" s="20">
        <v>15</v>
      </c>
      <c r="G20" s="20" t="s">
        <v>62</v>
      </c>
      <c r="H20" s="20"/>
    </row>
    <row r="21" spans="2:8" x14ac:dyDescent="0.2">
      <c r="D21" s="20">
        <v>8</v>
      </c>
      <c r="E21" s="20" t="s">
        <v>63</v>
      </c>
      <c r="F21" s="20">
        <v>8</v>
      </c>
      <c r="G21" s="20" t="s">
        <v>63</v>
      </c>
      <c r="H21" s="20"/>
    </row>
    <row r="22" spans="2:8" x14ac:dyDescent="0.2">
      <c r="D22" s="20"/>
      <c r="E22" s="20" t="s">
        <v>64</v>
      </c>
      <c r="F22" s="20"/>
      <c r="G22" s="20" t="s">
        <v>64</v>
      </c>
      <c r="H22" s="20"/>
    </row>
    <row r="23" spans="2:8" x14ac:dyDescent="0.2">
      <c r="D23" s="20">
        <f>175*0.8</f>
        <v>140</v>
      </c>
      <c r="E23" s="20" t="s">
        <v>65</v>
      </c>
      <c r="F23" s="20">
        <f>130*0.8</f>
        <v>104</v>
      </c>
      <c r="G23" s="20" t="s">
        <v>65</v>
      </c>
      <c r="H23" s="20"/>
    </row>
    <row r="24" spans="2:8" x14ac:dyDescent="0.2">
      <c r="D24" s="20">
        <v>0</v>
      </c>
      <c r="E24" s="20" t="s">
        <v>66</v>
      </c>
      <c r="F24" s="20">
        <v>0</v>
      </c>
      <c r="G24" s="20" t="s">
        <v>66</v>
      </c>
      <c r="H24" s="20"/>
    </row>
    <row r="25" spans="2:8" x14ac:dyDescent="0.2">
      <c r="F25" s="20"/>
      <c r="G25" s="20"/>
      <c r="H25" s="20"/>
    </row>
    <row r="26" spans="2:8" x14ac:dyDescent="0.2">
      <c r="B26" s="1" t="s">
        <v>2839</v>
      </c>
      <c r="F26" s="20"/>
      <c r="G26" s="20"/>
      <c r="H26" s="20"/>
    </row>
    <row r="27" spans="2:8" x14ac:dyDescent="0.2">
      <c r="B27" s="1" t="s">
        <v>2840</v>
      </c>
      <c r="F27" s="20"/>
      <c r="G27" s="20"/>
      <c r="H27" s="20"/>
    </row>
    <row r="28" spans="2:8" x14ac:dyDescent="0.2">
      <c r="F28" s="20"/>
      <c r="G28" s="20"/>
      <c r="H28" s="20"/>
    </row>
    <row r="29" spans="2:8" x14ac:dyDescent="0.2">
      <c r="E29" s="20" t="s">
        <v>2841</v>
      </c>
      <c r="F29" s="20" t="s">
        <v>2841</v>
      </c>
      <c r="G29" s="20"/>
      <c r="H29" s="20"/>
    </row>
    <row r="30" spans="2:8" x14ac:dyDescent="0.2">
      <c r="E30" s="20" t="s">
        <v>2842</v>
      </c>
      <c r="F30" s="20" t="s">
        <v>1730</v>
      </c>
      <c r="G30" s="20"/>
      <c r="H30" s="20"/>
    </row>
    <row r="31" spans="2:8" x14ac:dyDescent="0.2">
      <c r="E31" s="20" t="s">
        <v>2844</v>
      </c>
      <c r="F31" s="20" t="s">
        <v>2843</v>
      </c>
      <c r="G31" s="20"/>
      <c r="H31" s="20"/>
    </row>
    <row r="32" spans="2:8" x14ac:dyDescent="0.2">
      <c r="E32" s="20" t="s">
        <v>75</v>
      </c>
      <c r="F32" s="20" t="s">
        <v>75</v>
      </c>
      <c r="G32" s="20" t="s">
        <v>111</v>
      </c>
      <c r="H32" s="20"/>
    </row>
    <row r="33" spans="2:8" x14ac:dyDescent="0.2">
      <c r="E33" s="20">
        <v>15</v>
      </c>
      <c r="F33" s="20">
        <v>9999999</v>
      </c>
      <c r="G33" s="20" t="s">
        <v>62</v>
      </c>
      <c r="H33" s="20"/>
    </row>
    <row r="34" spans="2:8" x14ac:dyDescent="0.2">
      <c r="B34" s="1" t="s">
        <v>2845</v>
      </c>
      <c r="E34" s="20">
        <v>8</v>
      </c>
      <c r="F34" s="20">
        <v>8</v>
      </c>
      <c r="G34" s="20" t="s">
        <v>63</v>
      </c>
      <c r="H34" s="20"/>
    </row>
    <row r="35" spans="2:8" x14ac:dyDescent="0.2">
      <c r="B35" s="1" t="s">
        <v>2846</v>
      </c>
      <c r="E35" s="366">
        <f>PV(E34/100,E33,E36,E37)</f>
        <v>-1441.8587672346505</v>
      </c>
      <c r="F35" s="69">
        <f>-140/8%</f>
        <v>-1750</v>
      </c>
      <c r="G35" s="20" t="s">
        <v>64</v>
      </c>
      <c r="H35" s="20"/>
    </row>
    <row r="36" spans="2:8" x14ac:dyDescent="0.2">
      <c r="B36" s="1" t="s">
        <v>2847</v>
      </c>
      <c r="E36" s="20">
        <v>104</v>
      </c>
      <c r="F36" s="20">
        <v>140</v>
      </c>
      <c r="G36" s="20" t="s">
        <v>65</v>
      </c>
      <c r="H36" s="20"/>
    </row>
    <row r="37" spans="2:8" x14ac:dyDescent="0.2">
      <c r="B37" s="1" t="s">
        <v>2848</v>
      </c>
      <c r="E37" s="69">
        <f>-F35</f>
        <v>1750</v>
      </c>
      <c r="F37" s="20">
        <v>0</v>
      </c>
      <c r="G37" s="20" t="s">
        <v>66</v>
      </c>
      <c r="H37" s="20"/>
    </row>
    <row r="38" spans="2:8" x14ac:dyDescent="0.2">
      <c r="B38" s="1" t="s">
        <v>2849</v>
      </c>
      <c r="F38" s="20"/>
      <c r="G38" s="20"/>
      <c r="H38" s="20"/>
    </row>
    <row r="39" spans="2:8" x14ac:dyDescent="0.2">
      <c r="F39" s="20"/>
      <c r="G39" s="20"/>
      <c r="H39" s="20"/>
    </row>
    <row r="40" spans="2:8" x14ac:dyDescent="0.2">
      <c r="B40" s="1" t="s">
        <v>2850</v>
      </c>
      <c r="F40" s="20"/>
      <c r="G40" s="20"/>
      <c r="H40" s="20"/>
    </row>
    <row r="41" spans="2:8" x14ac:dyDescent="0.2">
      <c r="B41" s="1" t="s">
        <v>2851</v>
      </c>
      <c r="F41" s="20"/>
      <c r="G41" s="20"/>
      <c r="H41" s="20"/>
    </row>
    <row r="42" spans="2:8" x14ac:dyDescent="0.2">
      <c r="F42" s="20"/>
      <c r="G42" s="20"/>
      <c r="H42" s="20"/>
    </row>
    <row r="43" spans="2:8" x14ac:dyDescent="0.2">
      <c r="C43" s="1" t="s">
        <v>64</v>
      </c>
      <c r="D43" s="1" t="s">
        <v>1258</v>
      </c>
      <c r="E43" s="32">
        <f>-E35</f>
        <v>1441.8587672346505</v>
      </c>
      <c r="F43" s="20"/>
      <c r="G43" s="20"/>
      <c r="H43" s="20"/>
    </row>
    <row r="44" spans="2:8" x14ac:dyDescent="0.2">
      <c r="C44" s="1" t="s">
        <v>64</v>
      </c>
      <c r="D44" s="1" t="s">
        <v>874</v>
      </c>
      <c r="E44" s="1">
        <f>H18</f>
        <v>-1500</v>
      </c>
      <c r="F44" s="29" t="s">
        <v>2852</v>
      </c>
      <c r="G44" s="20"/>
      <c r="H44" s="20"/>
    </row>
    <row r="45" spans="2:8" x14ac:dyDescent="0.2">
      <c r="C45" s="1" t="s">
        <v>1039</v>
      </c>
      <c r="D45" s="1" t="s">
        <v>2853</v>
      </c>
      <c r="E45" s="367">
        <f>E43+E44</f>
        <v>-58.141232765349514</v>
      </c>
      <c r="F45" s="20"/>
      <c r="G45" s="20"/>
      <c r="H45" s="20"/>
    </row>
    <row r="52" spans="1:8" x14ac:dyDescent="0.2">
      <c r="B52" s="18" t="s">
        <v>2569</v>
      </c>
    </row>
    <row r="54" spans="1:8" x14ac:dyDescent="0.2">
      <c r="A54" s="326" t="s">
        <v>2403</v>
      </c>
      <c r="B54" s="326"/>
      <c r="C54" s="326"/>
      <c r="D54" s="326"/>
      <c r="E54" s="326"/>
      <c r="F54" s="326"/>
      <c r="G54" s="326"/>
      <c r="H54" s="326"/>
    </row>
    <row r="66" spans="1:10" x14ac:dyDescent="0.2">
      <c r="C66" s="20" t="s">
        <v>739</v>
      </c>
      <c r="D66" s="20"/>
    </row>
    <row r="67" spans="1:10" x14ac:dyDescent="0.2">
      <c r="A67" s="10" t="s">
        <v>897</v>
      </c>
      <c r="B67" s="10"/>
      <c r="C67" s="27">
        <v>0</v>
      </c>
      <c r="D67" s="27">
        <v>1</v>
      </c>
      <c r="E67" s="27">
        <v>2</v>
      </c>
    </row>
    <row r="68" spans="1:10" x14ac:dyDescent="0.2">
      <c r="A68" s="116" t="s">
        <v>898</v>
      </c>
      <c r="B68" s="116"/>
      <c r="C68" s="48"/>
      <c r="D68" s="475">
        <v>80000</v>
      </c>
      <c r="E68" s="475">
        <v>80000</v>
      </c>
      <c r="G68" s="1" t="s">
        <v>2405</v>
      </c>
    </row>
    <row r="69" spans="1:10" x14ac:dyDescent="0.2">
      <c r="A69" s="116" t="s">
        <v>973</v>
      </c>
      <c r="B69" s="116"/>
      <c r="C69" s="48"/>
      <c r="D69" s="476"/>
      <c r="E69" s="476"/>
      <c r="G69" s="1" t="s">
        <v>2406</v>
      </c>
    </row>
    <row r="70" spans="1:10" x14ac:dyDescent="0.2">
      <c r="A70" s="116" t="s">
        <v>2249</v>
      </c>
      <c r="B70" s="116"/>
      <c r="C70" s="48"/>
      <c r="D70" s="296">
        <f>-100000*70%</f>
        <v>-70000</v>
      </c>
      <c r="E70" s="296">
        <f>-100000*30%</f>
        <v>-30000</v>
      </c>
      <c r="G70" s="1" t="s">
        <v>2407</v>
      </c>
    </row>
    <row r="71" spans="1:10" x14ac:dyDescent="0.2">
      <c r="A71" s="116" t="s">
        <v>901</v>
      </c>
      <c r="B71" s="116"/>
      <c r="C71" s="48"/>
      <c r="D71" s="297">
        <f>D68+D70</f>
        <v>10000</v>
      </c>
      <c r="E71" s="297">
        <f>E68+E70</f>
        <v>50000</v>
      </c>
      <c r="G71" s="1" t="s">
        <v>2408</v>
      </c>
    </row>
    <row r="72" spans="1:10" x14ac:dyDescent="0.2">
      <c r="A72" s="116" t="s">
        <v>2410</v>
      </c>
      <c r="B72" s="116"/>
      <c r="C72" s="48"/>
      <c r="D72" s="296">
        <f>-35%*D71</f>
        <v>-3500</v>
      </c>
      <c r="E72" s="296">
        <f>-35%*E71</f>
        <v>-17500</v>
      </c>
      <c r="G72" s="1" t="s">
        <v>2409</v>
      </c>
    </row>
    <row r="73" spans="1:10" x14ac:dyDescent="0.2">
      <c r="A73" s="116" t="s">
        <v>977</v>
      </c>
      <c r="B73" s="116"/>
      <c r="C73" s="48"/>
      <c r="D73" s="297">
        <f>D71+D72</f>
        <v>6500</v>
      </c>
      <c r="E73" s="297">
        <f>E71+E72</f>
        <v>32500</v>
      </c>
    </row>
    <row r="74" spans="1:10" x14ac:dyDescent="0.2">
      <c r="A74" s="116" t="s">
        <v>2414</v>
      </c>
      <c r="B74" s="116"/>
      <c r="C74" s="171">
        <v>-100000</v>
      </c>
      <c r="D74" s="48"/>
      <c r="E74" s="48"/>
      <c r="G74" s="1" t="s">
        <v>2411</v>
      </c>
    </row>
    <row r="75" spans="1:10" x14ac:dyDescent="0.2">
      <c r="A75" s="116" t="s">
        <v>937</v>
      </c>
      <c r="B75" s="116"/>
      <c r="C75" s="48"/>
      <c r="D75" s="48"/>
      <c r="E75" s="48">
        <v>0</v>
      </c>
    </row>
    <row r="76" spans="1:10" x14ac:dyDescent="0.2">
      <c r="A76" s="116" t="s">
        <v>2404</v>
      </c>
      <c r="B76" s="116"/>
      <c r="C76" s="48"/>
      <c r="D76" s="171">
        <f>-D70</f>
        <v>70000</v>
      </c>
      <c r="E76" s="171">
        <f>-E70</f>
        <v>30000</v>
      </c>
      <c r="H76" s="20"/>
      <c r="I76" s="20" t="s">
        <v>84</v>
      </c>
    </row>
    <row r="77" spans="1:10" x14ac:dyDescent="0.2">
      <c r="A77" s="134" t="s">
        <v>905</v>
      </c>
      <c r="B77" s="134"/>
      <c r="C77" s="304">
        <f>C74</f>
        <v>-100000</v>
      </c>
      <c r="D77" s="304">
        <f>D73+D76</f>
        <v>76500</v>
      </c>
      <c r="E77" s="304">
        <f>E73+E76</f>
        <v>62500</v>
      </c>
      <c r="G77" s="1" t="s">
        <v>2412</v>
      </c>
      <c r="H77" s="20">
        <v>10</v>
      </c>
      <c r="I77" s="20" t="s">
        <v>63</v>
      </c>
      <c r="J77" s="1" t="s">
        <v>2201</v>
      </c>
    </row>
    <row r="78" spans="1:10" x14ac:dyDescent="0.2">
      <c r="H78" s="20"/>
      <c r="I78" s="20"/>
    </row>
    <row r="79" spans="1:10" x14ac:dyDescent="0.2">
      <c r="G79" s="20" t="s">
        <v>87</v>
      </c>
      <c r="H79" s="20"/>
      <c r="I79" s="20" t="s">
        <v>1001</v>
      </c>
    </row>
    <row r="80" spans="1:10" x14ac:dyDescent="0.2">
      <c r="G80" s="171">
        <v>-100000</v>
      </c>
      <c r="H80" s="20">
        <v>1</v>
      </c>
      <c r="I80" s="20"/>
    </row>
    <row r="81" spans="1:9" x14ac:dyDescent="0.2">
      <c r="G81" s="171">
        <v>76500</v>
      </c>
      <c r="H81" s="20">
        <v>2</v>
      </c>
      <c r="I81" s="20"/>
    </row>
    <row r="82" spans="1:9" x14ac:dyDescent="0.2">
      <c r="G82" s="171">
        <v>62500</v>
      </c>
      <c r="H82" s="20">
        <v>3</v>
      </c>
      <c r="I82" s="20"/>
    </row>
    <row r="83" spans="1:9" x14ac:dyDescent="0.2">
      <c r="H83" s="20"/>
      <c r="I83" s="20"/>
    </row>
    <row r="84" spans="1:9" x14ac:dyDescent="0.2">
      <c r="C84" s="18" t="s">
        <v>2415</v>
      </c>
      <c r="G84" s="327">
        <f>NPV(10%,G81:G82)+G80</f>
        <v>21198.347107438007</v>
      </c>
      <c r="H84" s="20" t="s">
        <v>2413</v>
      </c>
      <c r="I84" s="20" t="s">
        <v>456</v>
      </c>
    </row>
    <row r="86" spans="1:9" x14ac:dyDescent="0.2">
      <c r="C86" s="1" t="s">
        <v>2416</v>
      </c>
      <c r="G86" s="51">
        <f>IRR(G80:G82)</f>
        <v>0.26074042835660904</v>
      </c>
      <c r="H86" s="20" t="s">
        <v>2417</v>
      </c>
      <c r="I86" s="1" t="s">
        <v>456</v>
      </c>
    </row>
    <row r="87" spans="1:9" x14ac:dyDescent="0.2">
      <c r="C87" s="1" t="s">
        <v>2418</v>
      </c>
    </row>
    <row r="89" spans="1:9" x14ac:dyDescent="0.2">
      <c r="A89" s="326" t="s">
        <v>2419</v>
      </c>
      <c r="B89" s="326"/>
      <c r="C89" s="326"/>
      <c r="D89" s="326"/>
      <c r="E89" s="326"/>
      <c r="F89" s="326"/>
      <c r="G89" s="326"/>
      <c r="H89" s="326"/>
    </row>
    <row r="95" spans="1:9" x14ac:dyDescent="0.2">
      <c r="A95" s="1" t="s">
        <v>146</v>
      </c>
    </row>
    <row r="97" spans="1:3" x14ac:dyDescent="0.2">
      <c r="A97" s="1" t="s">
        <v>2421</v>
      </c>
    </row>
    <row r="98" spans="1:3" x14ac:dyDescent="0.2">
      <c r="A98" s="1" t="s">
        <v>2420</v>
      </c>
    </row>
    <row r="102" spans="1:3" x14ac:dyDescent="0.2">
      <c r="A102" s="1" t="s">
        <v>2422</v>
      </c>
    </row>
    <row r="103" spans="1:3" x14ac:dyDescent="0.2">
      <c r="B103" s="1" t="s">
        <v>2423</v>
      </c>
    </row>
    <row r="104" spans="1:3" x14ac:dyDescent="0.2">
      <c r="C104" s="1" t="s">
        <v>2424</v>
      </c>
    </row>
    <row r="106" spans="1:3" x14ac:dyDescent="0.2">
      <c r="B106" s="1" t="s">
        <v>2425</v>
      </c>
    </row>
    <row r="107" spans="1:3" x14ac:dyDescent="0.2">
      <c r="C107" s="1" t="s">
        <v>2426</v>
      </c>
    </row>
    <row r="109" spans="1:3" x14ac:dyDescent="0.2">
      <c r="A109" s="18" t="s">
        <v>2427</v>
      </c>
    </row>
    <row r="113" spans="1:8" x14ac:dyDescent="0.2">
      <c r="A113" s="18" t="s">
        <v>2428</v>
      </c>
    </row>
    <row r="115" spans="1:8" x14ac:dyDescent="0.2">
      <c r="A115" s="326" t="s">
        <v>1458</v>
      </c>
      <c r="B115" s="326"/>
      <c r="C115" s="326"/>
      <c r="D115" s="326"/>
      <c r="E115" s="326"/>
      <c r="F115" s="326"/>
      <c r="G115" s="326"/>
      <c r="H115" s="326"/>
    </row>
    <row r="121" spans="1:8" ht="17" thickBot="1" x14ac:dyDescent="0.25"/>
    <row r="122" spans="1:8" x14ac:dyDescent="0.2">
      <c r="A122" s="18" t="s">
        <v>146</v>
      </c>
      <c r="D122" s="20" t="s">
        <v>2433</v>
      </c>
      <c r="E122" s="12"/>
      <c r="F122" s="13" t="s">
        <v>2429</v>
      </c>
      <c r="G122" s="14"/>
    </row>
    <row r="123" spans="1:8" x14ac:dyDescent="0.2">
      <c r="E123" s="72"/>
      <c r="G123" s="73"/>
    </row>
    <row r="124" spans="1:8" x14ac:dyDescent="0.2">
      <c r="C124" s="20">
        <v>12</v>
      </c>
      <c r="D124" s="20"/>
      <c r="E124" s="160">
        <v>5.5</v>
      </c>
      <c r="G124" s="161">
        <v>1</v>
      </c>
    </row>
    <row r="125" spans="1:8" x14ac:dyDescent="0.2">
      <c r="A125" s="1" t="s">
        <v>503</v>
      </c>
      <c r="C125" s="20"/>
      <c r="D125" s="20"/>
      <c r="E125" s="160"/>
      <c r="F125" s="20"/>
      <c r="G125" s="73"/>
    </row>
    <row r="126" spans="1:8" x14ac:dyDescent="0.2">
      <c r="D126" s="20"/>
      <c r="E126" s="328">
        <v>8000</v>
      </c>
      <c r="G126" s="329">
        <v>7500</v>
      </c>
    </row>
    <row r="127" spans="1:8" ht="17" thickBot="1" x14ac:dyDescent="0.25">
      <c r="E127" s="15"/>
      <c r="F127" s="16"/>
      <c r="G127" s="17"/>
    </row>
    <row r="128" spans="1:8" x14ac:dyDescent="0.2">
      <c r="A128" s="1" t="s">
        <v>1849</v>
      </c>
    </row>
    <row r="129" spans="1:8" x14ac:dyDescent="0.2">
      <c r="G129" s="1" t="s">
        <v>60</v>
      </c>
    </row>
    <row r="130" spans="1:8" x14ac:dyDescent="0.2">
      <c r="F130" s="20" t="s">
        <v>75</v>
      </c>
      <c r="G130" s="1" t="s">
        <v>111</v>
      </c>
    </row>
    <row r="131" spans="1:8" x14ac:dyDescent="0.2">
      <c r="F131" s="20">
        <v>4.5</v>
      </c>
      <c r="G131" s="1" t="s">
        <v>62</v>
      </c>
    </row>
    <row r="132" spans="1:8" x14ac:dyDescent="0.2">
      <c r="F132" s="259">
        <f>RATE(F131,F134,F133,F135)</f>
        <v>1.444523197366495E-2</v>
      </c>
      <c r="G132" s="1" t="s">
        <v>63</v>
      </c>
      <c r="H132" s="1" t="s">
        <v>227</v>
      </c>
    </row>
    <row r="133" spans="1:8" x14ac:dyDescent="0.2">
      <c r="A133" s="1" t="s">
        <v>2430</v>
      </c>
      <c r="F133" s="20">
        <v>7500</v>
      </c>
      <c r="G133" s="1" t="s">
        <v>64</v>
      </c>
    </row>
    <row r="134" spans="1:8" x14ac:dyDescent="0.2">
      <c r="A134" s="1" t="s">
        <v>2431</v>
      </c>
      <c r="F134" s="20">
        <v>0</v>
      </c>
      <c r="G134" s="1" t="s">
        <v>65</v>
      </c>
    </row>
    <row r="135" spans="1:8" x14ac:dyDescent="0.2">
      <c r="A135" s="1" t="s">
        <v>2432</v>
      </c>
      <c r="F135" s="20">
        <v>-8000</v>
      </c>
      <c r="G135" s="1" t="s">
        <v>66</v>
      </c>
    </row>
    <row r="137" spans="1:8" x14ac:dyDescent="0.2">
      <c r="A137" s="1" t="s">
        <v>2434</v>
      </c>
    </row>
    <row r="139" spans="1:8" x14ac:dyDescent="0.2">
      <c r="G139" s="1" t="s">
        <v>60</v>
      </c>
    </row>
    <row r="140" spans="1:8" x14ac:dyDescent="0.2">
      <c r="F140" s="20" t="s">
        <v>75</v>
      </c>
      <c r="G140" s="1" t="s">
        <v>111</v>
      </c>
    </row>
    <row r="141" spans="1:8" x14ac:dyDescent="0.2">
      <c r="F141" s="20">
        <v>6.5</v>
      </c>
      <c r="G141" s="1" t="s">
        <v>62</v>
      </c>
    </row>
    <row r="142" spans="1:8" x14ac:dyDescent="0.2">
      <c r="F142" s="330">
        <f>F132*100</f>
        <v>1.4445231973664949</v>
      </c>
      <c r="G142" s="1" t="s">
        <v>63</v>
      </c>
    </row>
    <row r="143" spans="1:8" x14ac:dyDescent="0.2">
      <c r="F143" s="20">
        <v>8000</v>
      </c>
      <c r="G143" s="1" t="s">
        <v>64</v>
      </c>
    </row>
    <row r="144" spans="1:8" x14ac:dyDescent="0.2">
      <c r="F144" s="20">
        <v>0</v>
      </c>
      <c r="G144" s="1" t="s">
        <v>65</v>
      </c>
    </row>
    <row r="145" spans="1:8" x14ac:dyDescent="0.2">
      <c r="A145" s="1" t="s">
        <v>2435</v>
      </c>
      <c r="F145" s="331">
        <f>FV(F142/100,F141,F144,F143)</f>
        <v>-8781.6458980190109</v>
      </c>
      <c r="G145" s="1" t="s">
        <v>66</v>
      </c>
      <c r="H145" s="1" t="s">
        <v>227</v>
      </c>
    </row>
    <row r="146" spans="1:8" x14ac:dyDescent="0.2">
      <c r="A146" s="18" t="s">
        <v>2436</v>
      </c>
    </row>
    <row r="158" spans="1:8" x14ac:dyDescent="0.2">
      <c r="A158" s="151" t="s">
        <v>1428</v>
      </c>
      <c r="B158" s="152"/>
      <c r="C158" s="152"/>
      <c r="D158" s="152"/>
      <c r="E158" s="152"/>
      <c r="F158" s="152"/>
      <c r="G158" s="152"/>
      <c r="H158" s="152"/>
    </row>
    <row r="159" spans="1:8" x14ac:dyDescent="0.2">
      <c r="A159" s="151"/>
      <c r="B159" s="152"/>
      <c r="C159" s="152"/>
      <c r="D159" s="152"/>
      <c r="E159" s="152"/>
      <c r="F159" s="152"/>
      <c r="G159" s="152"/>
      <c r="H159" s="152"/>
    </row>
    <row r="160" spans="1:8" x14ac:dyDescent="0.2">
      <c r="A160" s="151"/>
      <c r="B160" s="152"/>
      <c r="C160" s="152"/>
      <c r="D160" s="152"/>
      <c r="E160" s="152"/>
      <c r="F160" s="152"/>
      <c r="G160" s="152"/>
      <c r="H160" s="152"/>
    </row>
    <row r="161" spans="1:8" x14ac:dyDescent="0.2">
      <c r="A161" s="151"/>
      <c r="B161" s="152"/>
      <c r="C161" s="152"/>
      <c r="D161" s="152"/>
      <c r="E161" s="152"/>
      <c r="F161" s="152"/>
      <c r="G161" s="152"/>
      <c r="H161" s="152"/>
    </row>
    <row r="162" spans="1:8" x14ac:dyDescent="0.2">
      <c r="A162" s="151"/>
      <c r="B162" s="152"/>
      <c r="C162" s="152"/>
      <c r="D162" s="152"/>
      <c r="E162" s="152"/>
      <c r="F162" s="152"/>
      <c r="G162" s="152"/>
      <c r="H162" s="152"/>
    </row>
    <row r="163" spans="1:8" x14ac:dyDescent="0.2">
      <c r="A163" s="151"/>
      <c r="B163" s="152"/>
      <c r="C163" s="152"/>
      <c r="D163" s="152"/>
      <c r="E163" s="152"/>
      <c r="F163" s="152"/>
      <c r="G163" s="152"/>
      <c r="H163" s="152"/>
    </row>
    <row r="164" spans="1:8" x14ac:dyDescent="0.2">
      <c r="A164" s="151"/>
      <c r="B164" s="152"/>
      <c r="C164" s="152"/>
      <c r="D164" s="152"/>
      <c r="E164" s="152"/>
      <c r="F164" s="152"/>
      <c r="G164" s="152"/>
      <c r="H164" s="152"/>
    </row>
    <row r="165" spans="1:8" x14ac:dyDescent="0.2">
      <c r="A165" s="151"/>
      <c r="B165" s="152"/>
      <c r="C165" s="152"/>
      <c r="D165" s="152"/>
      <c r="E165" s="152"/>
      <c r="F165" s="152"/>
      <c r="G165" s="152"/>
      <c r="H165" s="152"/>
    </row>
    <row r="166" spans="1:8" x14ac:dyDescent="0.2">
      <c r="A166" s="151"/>
      <c r="B166" s="152"/>
      <c r="C166" s="152"/>
      <c r="D166" s="152"/>
      <c r="E166" s="152"/>
      <c r="F166" s="152"/>
      <c r="G166" s="152"/>
      <c r="H166" s="152"/>
    </row>
    <row r="167" spans="1:8" x14ac:dyDescent="0.2">
      <c r="A167" s="151"/>
      <c r="B167" s="152"/>
      <c r="C167" s="152"/>
      <c r="D167" s="152"/>
      <c r="E167" s="152"/>
      <c r="F167" s="152"/>
      <c r="G167" s="152"/>
      <c r="H167" s="152"/>
    </row>
    <row r="168" spans="1:8" x14ac:dyDescent="0.2">
      <c r="A168" s="151"/>
      <c r="B168" s="152"/>
      <c r="C168" s="152"/>
      <c r="D168" s="152"/>
      <c r="E168" s="152"/>
      <c r="F168" s="152"/>
      <c r="G168" s="152"/>
      <c r="H168" s="152"/>
    </row>
    <row r="169" spans="1:8" x14ac:dyDescent="0.2">
      <c r="A169" s="151"/>
      <c r="B169" s="152"/>
      <c r="C169" s="152"/>
      <c r="D169" s="152"/>
      <c r="E169" s="152"/>
      <c r="F169" s="152"/>
      <c r="G169" s="152"/>
      <c r="H169" s="152"/>
    </row>
    <row r="170" spans="1:8" x14ac:dyDescent="0.2">
      <c r="A170" s="151"/>
      <c r="B170" s="152"/>
      <c r="C170" s="152"/>
      <c r="D170" s="152"/>
      <c r="E170" s="152"/>
      <c r="F170" s="152"/>
      <c r="G170" s="152"/>
      <c r="H170" s="152"/>
    </row>
    <row r="171" spans="1:8" x14ac:dyDescent="0.2">
      <c r="A171" s="1" t="s">
        <v>1408</v>
      </c>
    </row>
    <row r="172" spans="1:8" x14ac:dyDescent="0.2">
      <c r="A172" s="1" t="s">
        <v>1409</v>
      </c>
    </row>
    <row r="173" spans="1:8" x14ac:dyDescent="0.2">
      <c r="A173" s="1" t="s">
        <v>1410</v>
      </c>
    </row>
    <row r="174" spans="1:8" x14ac:dyDescent="0.2">
      <c r="A174" s="1" t="s">
        <v>1411</v>
      </c>
    </row>
    <row r="175" spans="1:8" x14ac:dyDescent="0.2">
      <c r="A175" s="1" t="s">
        <v>1412</v>
      </c>
    </row>
    <row r="176" spans="1:8" x14ac:dyDescent="0.2">
      <c r="A176" s="1" t="s">
        <v>1413</v>
      </c>
    </row>
    <row r="177" spans="1:8" x14ac:dyDescent="0.2">
      <c r="A177" s="1" t="s">
        <v>1414</v>
      </c>
    </row>
    <row r="181" spans="1:8" x14ac:dyDescent="0.2">
      <c r="B181" s="168">
        <f>1.07^3-1</f>
        <v>0.2250430000000001</v>
      </c>
      <c r="G181" s="139" t="s">
        <v>2854</v>
      </c>
      <c r="H181" s="139"/>
    </row>
    <row r="183" spans="1:8" x14ac:dyDescent="0.2">
      <c r="A183" s="1" t="s">
        <v>1415</v>
      </c>
    </row>
    <row r="185" spans="1:8" x14ac:dyDescent="0.2">
      <c r="A185" s="1" t="s">
        <v>1416</v>
      </c>
    </row>
    <row r="187" spans="1:8" x14ac:dyDescent="0.2">
      <c r="B187" s="168">
        <f>1.05*1.03-1</f>
        <v>8.1500000000000128E-2</v>
      </c>
      <c r="G187" s="139" t="s">
        <v>2855</v>
      </c>
      <c r="H187" s="139"/>
    </row>
    <row r="189" spans="1:8" x14ac:dyDescent="0.2">
      <c r="A189" s="1" t="s">
        <v>1417</v>
      </c>
    </row>
    <row r="190" spans="1:8" x14ac:dyDescent="0.2">
      <c r="B190" s="1" t="s">
        <v>850</v>
      </c>
    </row>
    <row r="191" spans="1:8" x14ac:dyDescent="0.2">
      <c r="B191" s="1" t="s">
        <v>843</v>
      </c>
    </row>
    <row r="192" spans="1:8" x14ac:dyDescent="0.2">
      <c r="B192" s="1" t="s">
        <v>845</v>
      </c>
    </row>
    <row r="193" spans="1:8" x14ac:dyDescent="0.2">
      <c r="A193" s="1" t="s">
        <v>1418</v>
      </c>
    </row>
    <row r="195" spans="1:8" x14ac:dyDescent="0.2">
      <c r="A195" s="1" t="s">
        <v>1419</v>
      </c>
    </row>
    <row r="197" spans="1:8" x14ac:dyDescent="0.2">
      <c r="A197" s="1" t="s">
        <v>1420</v>
      </c>
      <c r="G197" s="139" t="s">
        <v>2856</v>
      </c>
      <c r="H197" s="139"/>
    </row>
    <row r="198" spans="1:8" x14ac:dyDescent="0.2">
      <c r="G198" s="139" t="s">
        <v>2857</v>
      </c>
      <c r="H198" s="139"/>
    </row>
    <row r="199" spans="1:8" x14ac:dyDescent="0.2">
      <c r="A199" s="1" t="s">
        <v>1155</v>
      </c>
    </row>
    <row r="200" spans="1:8" x14ac:dyDescent="0.2">
      <c r="B200" s="168">
        <f>(1+B181)/(1+B187)-1</f>
        <v>0.13272584373555252</v>
      </c>
      <c r="G200" s="1" t="s">
        <v>2858</v>
      </c>
    </row>
    <row r="201" spans="1:8" x14ac:dyDescent="0.2">
      <c r="G201" s="1" t="s">
        <v>2859</v>
      </c>
    </row>
    <row r="202" spans="1:8" x14ac:dyDescent="0.2">
      <c r="A202" s="1" t="s">
        <v>2860</v>
      </c>
    </row>
    <row r="204" spans="1:8" x14ac:dyDescent="0.2">
      <c r="A204" s="215" t="s">
        <v>2861</v>
      </c>
      <c r="B204" s="368">
        <f>(1+B200)^(1/3)-1</f>
        <v>4.2417282622745578E-2</v>
      </c>
    </row>
    <row r="205" spans="1:8" ht="17" thickBot="1" x14ac:dyDescent="0.25"/>
    <row r="206" spans="1:8" x14ac:dyDescent="0.2">
      <c r="A206" s="132" t="s">
        <v>1421</v>
      </c>
      <c r="B206" s="13"/>
      <c r="C206" s="13"/>
      <c r="D206" s="13"/>
      <c r="E206" s="13"/>
      <c r="F206" s="13"/>
      <c r="G206" s="13"/>
      <c r="H206" s="14"/>
    </row>
    <row r="207" spans="1:8" x14ac:dyDescent="0.2">
      <c r="A207" s="72" t="s">
        <v>1422</v>
      </c>
      <c r="H207" s="73"/>
    </row>
    <row r="208" spans="1:8" x14ac:dyDescent="0.2">
      <c r="A208" s="72" t="s">
        <v>1423</v>
      </c>
      <c r="H208" s="73"/>
    </row>
    <row r="209" spans="1:8" x14ac:dyDescent="0.2">
      <c r="A209" s="72" t="s">
        <v>1424</v>
      </c>
      <c r="H209" s="73"/>
    </row>
    <row r="210" spans="1:8" x14ac:dyDescent="0.2">
      <c r="A210" s="72" t="s">
        <v>1425</v>
      </c>
      <c r="H210" s="73"/>
    </row>
    <row r="211" spans="1:8" ht="17" thickBot="1" x14ac:dyDescent="0.25">
      <c r="A211" s="15" t="s">
        <v>1426</v>
      </c>
      <c r="B211" s="16"/>
      <c r="C211" s="16"/>
      <c r="D211" s="16"/>
      <c r="E211" s="16"/>
      <c r="F211" s="16"/>
      <c r="G211" s="16"/>
      <c r="H211" s="17"/>
    </row>
    <row r="216" spans="1:8" x14ac:dyDescent="0.2">
      <c r="A216" s="151" t="s">
        <v>2440</v>
      </c>
      <c r="B216" s="152"/>
      <c r="C216" s="152"/>
      <c r="D216" s="152"/>
      <c r="E216" s="152"/>
      <c r="F216" s="152"/>
      <c r="G216" s="152"/>
      <c r="H216" s="152"/>
    </row>
    <row r="227" spans="1:8" x14ac:dyDescent="0.2">
      <c r="A227" s="18" t="s">
        <v>146</v>
      </c>
    </row>
    <row r="229" spans="1:8" x14ac:dyDescent="0.2">
      <c r="A229" s="1" t="s">
        <v>2437</v>
      </c>
    </row>
    <row r="230" spans="1:8" x14ac:dyDescent="0.2">
      <c r="A230" s="1" t="s">
        <v>2438</v>
      </c>
    </row>
    <row r="231" spans="1:8" x14ac:dyDescent="0.2">
      <c r="A231" s="1" t="s">
        <v>2439</v>
      </c>
    </row>
    <row r="233" spans="1:8" x14ac:dyDescent="0.2">
      <c r="G233" s="1" t="s">
        <v>60</v>
      </c>
    </row>
    <row r="234" spans="1:8" x14ac:dyDescent="0.2">
      <c r="F234" s="1" t="s">
        <v>75</v>
      </c>
      <c r="G234" s="1" t="s">
        <v>111</v>
      </c>
    </row>
    <row r="235" spans="1:8" x14ac:dyDescent="0.2">
      <c r="A235" s="1" t="s">
        <v>2441</v>
      </c>
      <c r="F235" s="20">
        <v>99999999999</v>
      </c>
      <c r="G235" s="1" t="s">
        <v>62</v>
      </c>
    </row>
    <row r="236" spans="1:8" x14ac:dyDescent="0.2">
      <c r="A236" s="1" t="s">
        <v>2442</v>
      </c>
      <c r="F236" s="69">
        <v>7.5</v>
      </c>
      <c r="G236" s="1" t="s">
        <v>63</v>
      </c>
      <c r="H236" s="1" t="s">
        <v>227</v>
      </c>
    </row>
    <row r="237" spans="1:8" x14ac:dyDescent="0.2">
      <c r="A237" s="1" t="s">
        <v>2443</v>
      </c>
      <c r="F237" s="20">
        <v>-300000</v>
      </c>
      <c r="G237" s="1" t="s">
        <v>64</v>
      </c>
    </row>
    <row r="238" spans="1:8" x14ac:dyDescent="0.2">
      <c r="A238" s="1" t="s">
        <v>2444</v>
      </c>
      <c r="F238" s="20">
        <v>22500</v>
      </c>
      <c r="G238" s="1" t="s">
        <v>65</v>
      </c>
    </row>
    <row r="239" spans="1:8" x14ac:dyDescent="0.2">
      <c r="F239" s="20">
        <v>0</v>
      </c>
      <c r="G239" s="1" t="s">
        <v>66</v>
      </c>
    </row>
    <row r="241" spans="1:8" x14ac:dyDescent="0.2">
      <c r="E241" s="1" t="s">
        <v>2445</v>
      </c>
    </row>
    <row r="242" spans="1:8" x14ac:dyDescent="0.2">
      <c r="E242" s="1" t="s">
        <v>2446</v>
      </c>
    </row>
    <row r="243" spans="1:8" x14ac:dyDescent="0.2">
      <c r="E243" s="1" t="s">
        <v>2447</v>
      </c>
    </row>
    <row r="244" spans="1:8" x14ac:dyDescent="0.2">
      <c r="E244" s="1" t="s">
        <v>2448</v>
      </c>
    </row>
    <row r="246" spans="1:8" x14ac:dyDescent="0.2">
      <c r="E246" s="1" t="s">
        <v>2449</v>
      </c>
    </row>
    <row r="248" spans="1:8" x14ac:dyDescent="0.2">
      <c r="A248" s="1" t="s">
        <v>99</v>
      </c>
      <c r="B248" s="20" t="s">
        <v>171</v>
      </c>
      <c r="D248" s="332">
        <f>(1+7.5%)^(12/7)-1</f>
        <v>0.13199128047830611</v>
      </c>
      <c r="F248" s="1" t="s">
        <v>2450</v>
      </c>
    </row>
    <row r="250" spans="1:8" x14ac:dyDescent="0.2">
      <c r="E250" s="1" t="s">
        <v>2451</v>
      </c>
    </row>
    <row r="251" spans="1:8" x14ac:dyDescent="0.2">
      <c r="E251" s="1" t="s">
        <v>2452</v>
      </c>
    </row>
    <row r="252" spans="1:8" x14ac:dyDescent="0.2">
      <c r="E252" s="1" t="s">
        <v>2453</v>
      </c>
    </row>
    <row r="253" spans="1:8" x14ac:dyDescent="0.2">
      <c r="E253" s="1" t="s">
        <v>2454</v>
      </c>
    </row>
    <row r="256" spans="1:8" x14ac:dyDescent="0.2">
      <c r="A256" s="151" t="s">
        <v>2455</v>
      </c>
      <c r="B256" s="152"/>
      <c r="C256" s="152"/>
      <c r="D256" s="152"/>
      <c r="E256" s="152"/>
      <c r="F256" s="152"/>
      <c r="G256" s="152"/>
      <c r="H256" s="152"/>
    </row>
    <row r="267" spans="1:1" x14ac:dyDescent="0.2">
      <c r="A267" s="1" t="s">
        <v>146</v>
      </c>
    </row>
    <row r="269" spans="1:1" x14ac:dyDescent="0.2">
      <c r="A269" s="1" t="s">
        <v>2456</v>
      </c>
    </row>
    <row r="270" spans="1:1" x14ac:dyDescent="0.2">
      <c r="A270" s="1" t="s">
        <v>2457</v>
      </c>
    </row>
    <row r="271" spans="1:1" x14ac:dyDescent="0.2">
      <c r="A271" s="18" t="s">
        <v>2458</v>
      </c>
    </row>
    <row r="273" spans="1:8" x14ac:dyDescent="0.2">
      <c r="A273" s="1" t="s">
        <v>2459</v>
      </c>
    </row>
    <row r="275" spans="1:8" x14ac:dyDescent="0.2">
      <c r="A275" s="1" t="s">
        <v>2460</v>
      </c>
      <c r="B275" s="1" t="s">
        <v>2461</v>
      </c>
    </row>
    <row r="276" spans="1:8" x14ac:dyDescent="0.2">
      <c r="B276" s="1" t="s">
        <v>2462</v>
      </c>
    </row>
    <row r="278" spans="1:8" x14ac:dyDescent="0.2">
      <c r="A278" s="1" t="s">
        <v>2463</v>
      </c>
    </row>
    <row r="280" spans="1:8" x14ac:dyDescent="0.2">
      <c r="A280" s="151" t="s">
        <v>2464</v>
      </c>
      <c r="B280" s="152"/>
      <c r="C280" s="152"/>
      <c r="D280" s="152"/>
      <c r="E280" s="152"/>
      <c r="F280" s="152"/>
      <c r="G280" s="152"/>
      <c r="H280" s="152"/>
    </row>
    <row r="293" spans="1:8" x14ac:dyDescent="0.2">
      <c r="G293" s="1" t="s">
        <v>60</v>
      </c>
    </row>
    <row r="294" spans="1:8" x14ac:dyDescent="0.2">
      <c r="F294" s="20" t="s">
        <v>75</v>
      </c>
      <c r="G294" s="1" t="s">
        <v>111</v>
      </c>
    </row>
    <row r="295" spans="1:8" x14ac:dyDescent="0.2">
      <c r="A295" s="1" t="s">
        <v>2465</v>
      </c>
      <c r="F295" s="20">
        <v>10</v>
      </c>
      <c r="G295" s="1" t="s">
        <v>62</v>
      </c>
    </row>
    <row r="296" spans="1:8" x14ac:dyDescent="0.2">
      <c r="F296" s="20">
        <v>5.5</v>
      </c>
      <c r="G296" s="1" t="s">
        <v>63</v>
      </c>
    </row>
    <row r="297" spans="1:8" x14ac:dyDescent="0.2">
      <c r="F297" s="50">
        <f>PV(F296/100,F295,F298,F299)</f>
        <v>-96.231187085705514</v>
      </c>
      <c r="G297" s="1" t="s">
        <v>64</v>
      </c>
    </row>
    <row r="298" spans="1:8" x14ac:dyDescent="0.2">
      <c r="F298" s="20">
        <f>5%*100</f>
        <v>5</v>
      </c>
      <c r="G298" s="1" t="s">
        <v>65</v>
      </c>
    </row>
    <row r="299" spans="1:8" x14ac:dyDescent="0.2">
      <c r="F299" s="20">
        <v>100</v>
      </c>
      <c r="G299" s="1" t="s">
        <v>66</v>
      </c>
    </row>
    <row r="301" spans="1:8" x14ac:dyDescent="0.2">
      <c r="A301" s="151" t="s">
        <v>2466</v>
      </c>
      <c r="B301" s="152"/>
      <c r="C301" s="152"/>
      <c r="D301" s="152"/>
      <c r="E301" s="152"/>
      <c r="F301" s="152"/>
      <c r="G301" s="152"/>
      <c r="H301" s="152"/>
    </row>
    <row r="311" spans="1:6" x14ac:dyDescent="0.2">
      <c r="F311" s="1" t="s">
        <v>60</v>
      </c>
    </row>
    <row r="312" spans="1:6" x14ac:dyDescent="0.2">
      <c r="A312" s="1" t="s">
        <v>2467</v>
      </c>
      <c r="E312" s="20" t="s">
        <v>75</v>
      </c>
      <c r="F312" s="1" t="s">
        <v>111</v>
      </c>
    </row>
    <row r="313" spans="1:6" x14ac:dyDescent="0.2">
      <c r="A313" s="1" t="s">
        <v>2468</v>
      </c>
      <c r="E313" s="20">
        <f>3*2</f>
        <v>6</v>
      </c>
      <c r="F313" s="1" t="s">
        <v>62</v>
      </c>
    </row>
    <row r="314" spans="1:6" x14ac:dyDescent="0.2">
      <c r="A314" s="1" t="s">
        <v>2469</v>
      </c>
      <c r="E314" s="30">
        <f>((1+15.56%)^(1/2)-1)*100</f>
        <v>7.4988372030134975</v>
      </c>
      <c r="F314" s="1" t="s">
        <v>63</v>
      </c>
    </row>
    <row r="315" spans="1:6" x14ac:dyDescent="0.2">
      <c r="E315" s="50">
        <f>PV(E314/100,E313,E316,E317)</f>
        <v>-1000.0545818469651</v>
      </c>
      <c r="F315" s="1" t="s">
        <v>64</v>
      </c>
    </row>
    <row r="316" spans="1:6" x14ac:dyDescent="0.2">
      <c r="A316" s="1" t="s">
        <v>2470</v>
      </c>
      <c r="E316" s="20">
        <f>15%/2*1000</f>
        <v>75</v>
      </c>
      <c r="F316" s="1" t="s">
        <v>65</v>
      </c>
    </row>
    <row r="317" spans="1:6" x14ac:dyDescent="0.2">
      <c r="A317" s="1" t="s">
        <v>2471</v>
      </c>
      <c r="E317" s="20">
        <v>1000</v>
      </c>
      <c r="F317" s="1" t="s">
        <v>66</v>
      </c>
    </row>
    <row r="319" spans="1:6" x14ac:dyDescent="0.2">
      <c r="C319" s="1" t="s">
        <v>2472</v>
      </c>
    </row>
  </sheetData>
  <mergeCells count="3">
    <mergeCell ref="A1:H1"/>
    <mergeCell ref="D68:D69"/>
    <mergeCell ref="E68:E6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92CCE1-C2F0-5B40-9E86-8542ACD8E473}">
  <dimension ref="A1:K465"/>
  <sheetViews>
    <sheetView rightToLeft="1" topLeftCell="A493" zoomScale="269" workbookViewId="0">
      <selection activeCell="H230" sqref="H230"/>
    </sheetView>
  </sheetViews>
  <sheetFormatPr baseColWidth="10" defaultRowHeight="16" x14ac:dyDescent="0.2"/>
  <cols>
    <col min="3" max="3" width="11.1640625" bestFit="1" customWidth="1"/>
    <col min="4" max="4" width="11.6640625" bestFit="1" customWidth="1"/>
  </cols>
  <sheetData>
    <row r="1" spans="1:8" x14ac:dyDescent="0.2">
      <c r="A1" s="477" t="s">
        <v>1100</v>
      </c>
      <c r="B1" s="477"/>
      <c r="C1" s="477"/>
      <c r="D1" s="477"/>
      <c r="E1" s="477"/>
      <c r="F1" s="477"/>
      <c r="G1" s="477"/>
      <c r="H1" s="477"/>
    </row>
    <row r="3" spans="1:8" s="1" customFormat="1" x14ac:dyDescent="0.2">
      <c r="A3" s="139" t="s">
        <v>911</v>
      </c>
      <c r="B3" s="139"/>
      <c r="C3" s="139"/>
      <c r="D3" s="139"/>
      <c r="E3" s="139"/>
      <c r="F3" s="139"/>
      <c r="G3" s="139"/>
      <c r="H3" s="139"/>
    </row>
    <row r="4" spans="1:8" s="1" customFormat="1" x14ac:dyDescent="0.2"/>
    <row r="5" spans="1:8" s="1" customFormat="1" x14ac:dyDescent="0.2">
      <c r="A5" s="1" t="s">
        <v>1101</v>
      </c>
    </row>
    <row r="6" spans="1:8" s="1" customFormat="1" x14ac:dyDescent="0.2">
      <c r="A6" s="1" t="s">
        <v>1102</v>
      </c>
    </row>
    <row r="7" spans="1:8" s="1" customFormat="1" x14ac:dyDescent="0.2">
      <c r="A7" s="1" t="s">
        <v>1103</v>
      </c>
    </row>
    <row r="8" spans="1:8" s="1" customFormat="1" x14ac:dyDescent="0.2">
      <c r="A8" s="1" t="s">
        <v>1104</v>
      </c>
    </row>
    <row r="9" spans="1:8" s="1" customFormat="1" x14ac:dyDescent="0.2">
      <c r="A9" s="1" t="s">
        <v>1105</v>
      </c>
    </row>
    <row r="10" spans="1:8" s="1" customFormat="1" x14ac:dyDescent="0.2">
      <c r="A10" s="1" t="s">
        <v>1106</v>
      </c>
    </row>
    <row r="11" spans="1:8" s="1" customFormat="1" x14ac:dyDescent="0.2">
      <c r="A11" s="1" t="s">
        <v>1107</v>
      </c>
    </row>
    <row r="12" spans="1:8" s="1" customFormat="1" x14ac:dyDescent="0.2"/>
    <row r="13" spans="1:8" s="1" customFormat="1" x14ac:dyDescent="0.2">
      <c r="A13" s="1" t="s">
        <v>1108</v>
      </c>
    </row>
    <row r="14" spans="1:8" s="1" customFormat="1" ht="17" thickBot="1" x14ac:dyDescent="0.25"/>
    <row r="15" spans="1:8" s="1" customFormat="1" ht="17" thickBot="1" x14ac:dyDescent="0.25">
      <c r="A15" s="60" t="s">
        <v>1109</v>
      </c>
      <c r="B15" s="8"/>
      <c r="C15" s="8"/>
      <c r="D15" s="8"/>
      <c r="E15" s="8"/>
      <c r="F15" s="8"/>
      <c r="G15" s="8"/>
      <c r="H15" s="9"/>
    </row>
    <row r="16" spans="1:8" s="1" customFormat="1" x14ac:dyDescent="0.2">
      <c r="A16" s="1" t="s">
        <v>1110</v>
      </c>
    </row>
    <row r="17" spans="1:8" s="1" customFormat="1" x14ac:dyDescent="0.2"/>
    <row r="18" spans="1:8" s="1" customFormat="1" x14ac:dyDescent="0.2"/>
    <row r="19" spans="1:8" s="1" customFormat="1" x14ac:dyDescent="0.2"/>
    <row r="20" spans="1:8" s="1" customFormat="1" x14ac:dyDescent="0.2"/>
    <row r="21" spans="1:8" s="1" customFormat="1" x14ac:dyDescent="0.2"/>
    <row r="22" spans="1:8" s="1" customFormat="1" ht="17" thickBot="1" x14ac:dyDescent="0.25"/>
    <row r="23" spans="1:8" s="1" customFormat="1" ht="17" thickBot="1" x14ac:dyDescent="0.25">
      <c r="A23" s="60" t="s">
        <v>1111</v>
      </c>
      <c r="B23" s="8"/>
      <c r="C23" s="8"/>
      <c r="D23" s="8"/>
      <c r="E23" s="8"/>
      <c r="F23" s="8"/>
      <c r="G23" s="8"/>
      <c r="H23" s="9"/>
    </row>
    <row r="24" spans="1:8" s="1" customFormat="1" x14ac:dyDescent="0.2">
      <c r="A24" s="1" t="s">
        <v>1112</v>
      </c>
    </row>
    <row r="25" spans="1:8" s="1" customFormat="1" x14ac:dyDescent="0.2"/>
    <row r="26" spans="1:8" s="1" customFormat="1" x14ac:dyDescent="0.2"/>
    <row r="27" spans="1:8" s="1" customFormat="1" x14ac:dyDescent="0.2"/>
    <row r="28" spans="1:8" s="1" customFormat="1" ht="17" thickBot="1" x14ac:dyDescent="0.25"/>
    <row r="29" spans="1:8" s="1" customFormat="1" ht="17" thickBot="1" x14ac:dyDescent="0.25">
      <c r="A29" s="60" t="s">
        <v>1113</v>
      </c>
      <c r="B29" s="8"/>
      <c r="C29" s="8"/>
      <c r="D29" s="8"/>
      <c r="E29" s="8"/>
      <c r="F29" s="8"/>
      <c r="G29" s="8"/>
      <c r="H29" s="9"/>
    </row>
    <row r="30" spans="1:8" s="1" customFormat="1" x14ac:dyDescent="0.2">
      <c r="A30" s="1" t="s">
        <v>1114</v>
      </c>
    </row>
    <row r="31" spans="1:8" s="1" customFormat="1" x14ac:dyDescent="0.2">
      <c r="A31" s="1" t="s">
        <v>1115</v>
      </c>
    </row>
    <row r="32" spans="1:8" s="1" customFormat="1" x14ac:dyDescent="0.2"/>
    <row r="33" spans="1:8" s="1" customFormat="1" x14ac:dyDescent="0.2"/>
    <row r="34" spans="1:8" s="1" customFormat="1" ht="17" thickBot="1" x14ac:dyDescent="0.25"/>
    <row r="35" spans="1:8" s="1" customFormat="1" ht="17" thickBot="1" x14ac:dyDescent="0.25">
      <c r="A35" s="60" t="s">
        <v>1116</v>
      </c>
      <c r="B35" s="8"/>
      <c r="C35" s="8"/>
      <c r="D35" s="8"/>
      <c r="E35" s="8"/>
      <c r="F35" s="8"/>
      <c r="G35" s="8"/>
      <c r="H35" s="9"/>
    </row>
    <row r="36" spans="1:8" s="1" customFormat="1" x14ac:dyDescent="0.2">
      <c r="A36" s="1" t="s">
        <v>1117</v>
      </c>
    </row>
    <row r="37" spans="1:8" s="1" customFormat="1" x14ac:dyDescent="0.2">
      <c r="A37" s="1" t="s">
        <v>1118</v>
      </c>
    </row>
    <row r="38" spans="1:8" s="1" customFormat="1" x14ac:dyDescent="0.2"/>
    <row r="39" spans="1:8" s="1" customFormat="1" x14ac:dyDescent="0.2"/>
    <row r="40" spans="1:8" s="1" customFormat="1" x14ac:dyDescent="0.2"/>
    <row r="41" spans="1:8" s="1" customFormat="1" x14ac:dyDescent="0.2"/>
    <row r="42" spans="1:8" s="1" customFormat="1" x14ac:dyDescent="0.2"/>
    <row r="43" spans="1:8" s="1" customFormat="1" x14ac:dyDescent="0.2"/>
    <row r="44" spans="1:8" s="1" customFormat="1" x14ac:dyDescent="0.2">
      <c r="A44" s="18" t="s">
        <v>1119</v>
      </c>
    </row>
    <row r="45" spans="1:8" s="1" customFormat="1" x14ac:dyDescent="0.2"/>
    <row r="46" spans="1:8" s="1" customFormat="1" x14ac:dyDescent="0.2">
      <c r="A46" s="139" t="s">
        <v>922</v>
      </c>
      <c r="B46" s="139"/>
      <c r="C46" s="139"/>
      <c r="D46" s="139"/>
      <c r="E46" s="139"/>
      <c r="F46" s="139"/>
      <c r="G46" s="139"/>
      <c r="H46" s="139"/>
    </row>
    <row r="47" spans="1:8" s="1" customFormat="1" x14ac:dyDescent="0.2">
      <c r="B47" s="1" t="s">
        <v>1120</v>
      </c>
      <c r="E47" s="20" t="s">
        <v>1121</v>
      </c>
    </row>
    <row r="48" spans="1:8" s="1" customFormat="1" x14ac:dyDescent="0.2">
      <c r="B48" s="20">
        <v>36</v>
      </c>
      <c r="D48" s="20">
        <v>13</v>
      </c>
      <c r="E48" s="20">
        <v>12</v>
      </c>
      <c r="F48" s="20">
        <v>1</v>
      </c>
      <c r="G48" s="20">
        <v>0</v>
      </c>
    </row>
    <row r="49" spans="1:6" s="1" customFormat="1" x14ac:dyDescent="0.2"/>
    <row r="50" spans="1:6" s="1" customFormat="1" x14ac:dyDescent="0.2">
      <c r="A50" s="1" t="s">
        <v>1122</v>
      </c>
    </row>
    <row r="51" spans="1:6" s="1" customFormat="1" x14ac:dyDescent="0.2">
      <c r="C51" s="1" t="s">
        <v>1123</v>
      </c>
      <c r="F51" s="1" t="s">
        <v>1124</v>
      </c>
    </row>
    <row r="52" spans="1:6" s="1" customFormat="1" x14ac:dyDescent="0.2">
      <c r="C52" s="1" t="s">
        <v>1125</v>
      </c>
      <c r="F52" s="1" t="s">
        <v>1126</v>
      </c>
    </row>
    <row r="53" spans="1:6" s="1" customFormat="1" x14ac:dyDescent="0.2">
      <c r="C53" s="1" t="s">
        <v>1127</v>
      </c>
      <c r="F53" s="1" t="s">
        <v>1127</v>
      </c>
    </row>
    <row r="54" spans="1:6" s="1" customFormat="1" x14ac:dyDescent="0.2"/>
    <row r="55" spans="1:6" s="1" customFormat="1" x14ac:dyDescent="0.2"/>
    <row r="56" spans="1:6" s="1" customFormat="1" x14ac:dyDescent="0.2">
      <c r="A56" s="1" t="s">
        <v>1128</v>
      </c>
    </row>
    <row r="57" spans="1:6" s="1" customFormat="1" x14ac:dyDescent="0.2">
      <c r="A57" s="1" t="s">
        <v>1129</v>
      </c>
    </row>
    <row r="58" spans="1:6" s="1" customFormat="1" x14ac:dyDescent="0.2"/>
    <row r="59" spans="1:6" s="1" customFormat="1" x14ac:dyDescent="0.2"/>
    <row r="60" spans="1:6" s="1" customFormat="1" x14ac:dyDescent="0.2"/>
    <row r="61" spans="1:6" s="1" customFormat="1" x14ac:dyDescent="0.2">
      <c r="A61" s="1" t="s">
        <v>1130</v>
      </c>
    </row>
    <row r="62" spans="1:6" s="1" customFormat="1" x14ac:dyDescent="0.2">
      <c r="A62" s="1" t="s">
        <v>1131</v>
      </c>
    </row>
    <row r="63" spans="1:6" s="1" customFormat="1" x14ac:dyDescent="0.2">
      <c r="A63" s="1" t="s">
        <v>1132</v>
      </c>
    </row>
    <row r="64" spans="1:6" s="1" customFormat="1" x14ac:dyDescent="0.2"/>
    <row r="65" spans="1:8" s="1" customFormat="1" x14ac:dyDescent="0.2">
      <c r="E65" s="27" t="s">
        <v>1133</v>
      </c>
      <c r="F65" s="27" t="s">
        <v>1134</v>
      </c>
      <c r="G65" s="27" t="s">
        <v>60</v>
      </c>
    </row>
    <row r="66" spans="1:8" s="1" customFormat="1" x14ac:dyDescent="0.2">
      <c r="A66" s="1" t="s">
        <v>660</v>
      </c>
      <c r="E66" s="20" t="s">
        <v>75</v>
      </c>
      <c r="F66" s="20" t="s">
        <v>75</v>
      </c>
      <c r="G66" s="20" t="s">
        <v>111</v>
      </c>
    </row>
    <row r="67" spans="1:8" s="1" customFormat="1" x14ac:dyDescent="0.2">
      <c r="A67" s="1" t="s">
        <v>1135</v>
      </c>
      <c r="E67" s="20">
        <v>24</v>
      </c>
      <c r="F67" s="20">
        <v>12</v>
      </c>
      <c r="G67" s="20" t="s">
        <v>62</v>
      </c>
    </row>
    <row r="68" spans="1:8" s="1" customFormat="1" x14ac:dyDescent="0.2">
      <c r="A68" s="1" t="s">
        <v>1136</v>
      </c>
      <c r="B68" s="140">
        <f>E71</f>
        <v>19092.268456084465</v>
      </c>
      <c r="C68" s="1" t="s">
        <v>1137</v>
      </c>
      <c r="E68" s="20">
        <v>1.25</v>
      </c>
      <c r="F68" s="20">
        <v>1.25</v>
      </c>
      <c r="G68" s="20" t="s">
        <v>63</v>
      </c>
    </row>
    <row r="69" spans="1:8" s="1" customFormat="1" x14ac:dyDescent="0.2">
      <c r="A69" s="1" t="s">
        <v>1138</v>
      </c>
      <c r="E69" s="50">
        <f>-F71</f>
        <v>-3858.1084253519648</v>
      </c>
      <c r="F69" s="20">
        <v>0</v>
      </c>
      <c r="G69" s="20" t="s">
        <v>64</v>
      </c>
    </row>
    <row r="70" spans="1:8" s="1" customFormat="1" x14ac:dyDescent="0.2">
      <c r="E70" s="20">
        <v>-500</v>
      </c>
      <c r="F70" s="20">
        <v>-300</v>
      </c>
      <c r="G70" s="20" t="s">
        <v>65</v>
      </c>
    </row>
    <row r="71" spans="1:8" s="1" customFormat="1" x14ac:dyDescent="0.2">
      <c r="E71" s="141">
        <f>FV(E68/100,E67,E70,E69)</f>
        <v>19092.268456084465</v>
      </c>
      <c r="F71" s="50">
        <f>FV(F68/100,F67,F70,F69)</f>
        <v>3858.1084253519648</v>
      </c>
      <c r="G71" s="20" t="s">
        <v>66</v>
      </c>
      <c r="H71" s="20" t="s">
        <v>227</v>
      </c>
    </row>
    <row r="72" spans="1:8" s="1" customFormat="1" x14ac:dyDescent="0.2"/>
    <row r="73" spans="1:8" s="1" customFormat="1" x14ac:dyDescent="0.2">
      <c r="A73" s="139" t="s">
        <v>930</v>
      </c>
      <c r="B73" s="139"/>
      <c r="C73" s="139"/>
      <c r="D73" s="139"/>
      <c r="E73" s="139"/>
      <c r="F73" s="139"/>
      <c r="G73" s="139"/>
      <c r="H73" s="139"/>
    </row>
    <row r="74" spans="1:8" s="1" customFormat="1" x14ac:dyDescent="0.2"/>
    <row r="75" spans="1:8" s="1" customFormat="1" x14ac:dyDescent="0.2">
      <c r="F75" s="1" t="s">
        <v>1139</v>
      </c>
    </row>
    <row r="76" spans="1:8" s="1" customFormat="1" x14ac:dyDescent="0.2">
      <c r="D76" s="20">
        <v>2</v>
      </c>
      <c r="E76" s="46">
        <v>1.5</v>
      </c>
      <c r="F76" s="20"/>
      <c r="G76" s="20">
        <v>0</v>
      </c>
    </row>
    <row r="77" spans="1:8" s="1" customFormat="1" x14ac:dyDescent="0.2">
      <c r="D77" s="20"/>
      <c r="E77" s="20"/>
      <c r="F77" s="20"/>
      <c r="G77" s="20"/>
    </row>
    <row r="78" spans="1:8" s="1" customFormat="1" x14ac:dyDescent="0.2">
      <c r="A78" s="1" t="s">
        <v>29</v>
      </c>
      <c r="D78" s="20"/>
      <c r="E78" s="20"/>
      <c r="F78" s="20"/>
      <c r="G78" s="20" t="s">
        <v>1140</v>
      </c>
    </row>
    <row r="79" spans="1:8" s="1" customFormat="1" x14ac:dyDescent="0.2">
      <c r="D79" s="20"/>
      <c r="E79" s="20"/>
      <c r="F79" s="20"/>
      <c r="G79" s="20"/>
    </row>
    <row r="80" spans="1:8" s="1" customFormat="1" x14ac:dyDescent="0.2">
      <c r="C80" s="1" t="s">
        <v>1141</v>
      </c>
      <c r="E80" s="1" t="s">
        <v>1142</v>
      </c>
    </row>
    <row r="81" spans="1:5" s="1" customFormat="1" x14ac:dyDescent="0.2">
      <c r="C81" s="1" t="s">
        <v>1143</v>
      </c>
      <c r="E81" s="1" t="s">
        <v>1144</v>
      </c>
    </row>
    <row r="82" spans="1:5" s="1" customFormat="1" x14ac:dyDescent="0.2">
      <c r="B82" s="1" t="s">
        <v>1145</v>
      </c>
      <c r="E82" s="1" t="s">
        <v>1146</v>
      </c>
    </row>
    <row r="83" spans="1:5" s="1" customFormat="1" x14ac:dyDescent="0.2">
      <c r="C83" s="1" t="s">
        <v>1147</v>
      </c>
      <c r="E83" s="1" t="s">
        <v>1148</v>
      </c>
    </row>
    <row r="84" spans="1:5" s="1" customFormat="1" x14ac:dyDescent="0.2"/>
    <row r="85" spans="1:5" s="1" customFormat="1" x14ac:dyDescent="0.2"/>
    <row r="86" spans="1:5" s="1" customFormat="1" x14ac:dyDescent="0.2">
      <c r="B86" s="1" t="s">
        <v>1149</v>
      </c>
    </row>
    <row r="87" spans="1:5" s="1" customFormat="1" x14ac:dyDescent="0.2">
      <c r="B87" s="1" t="s">
        <v>1150</v>
      </c>
    </row>
    <row r="88" spans="1:5" s="1" customFormat="1" x14ac:dyDescent="0.2"/>
    <row r="89" spans="1:5" s="1" customFormat="1" x14ac:dyDescent="0.2"/>
    <row r="90" spans="1:5" s="1" customFormat="1" x14ac:dyDescent="0.2">
      <c r="B90" s="1" t="s">
        <v>1151</v>
      </c>
    </row>
    <row r="91" spans="1:5" s="1" customFormat="1" x14ac:dyDescent="0.2">
      <c r="B91" s="1" t="s">
        <v>1152</v>
      </c>
    </row>
    <row r="92" spans="1:5" s="1" customFormat="1" x14ac:dyDescent="0.2">
      <c r="B92" s="1" t="s">
        <v>1153</v>
      </c>
    </row>
    <row r="93" spans="1:5" s="1" customFormat="1" x14ac:dyDescent="0.2"/>
    <row r="94" spans="1:5" s="1" customFormat="1" x14ac:dyDescent="0.2"/>
    <row r="95" spans="1:5" s="1" customFormat="1" x14ac:dyDescent="0.2"/>
    <row r="96" spans="1:5" s="1" customFormat="1" x14ac:dyDescent="0.2">
      <c r="A96" s="18" t="s">
        <v>1154</v>
      </c>
    </row>
    <row r="97" spans="1:6" s="1" customFormat="1" x14ac:dyDescent="0.2"/>
    <row r="98" spans="1:6" s="1" customFormat="1" x14ac:dyDescent="0.2"/>
    <row r="99" spans="1:6" s="1" customFormat="1" x14ac:dyDescent="0.2"/>
    <row r="100" spans="1:6" s="1" customFormat="1" x14ac:dyDescent="0.2">
      <c r="A100" s="1" t="s">
        <v>1155</v>
      </c>
    </row>
    <row r="101" spans="1:6" s="1" customFormat="1" x14ac:dyDescent="0.2"/>
    <row r="102" spans="1:6" s="1" customFormat="1" x14ac:dyDescent="0.2"/>
    <row r="103" spans="1:6" s="1" customFormat="1" x14ac:dyDescent="0.2">
      <c r="A103" s="1" t="s">
        <v>1156</v>
      </c>
    </row>
    <row r="104" spans="1:6" s="1" customFormat="1" x14ac:dyDescent="0.2"/>
    <row r="105" spans="1:6" s="1" customFormat="1" x14ac:dyDescent="0.2">
      <c r="D105" s="27" t="s">
        <v>1157</v>
      </c>
      <c r="E105" s="27" t="s">
        <v>60</v>
      </c>
    </row>
    <row r="106" spans="1:6" s="1" customFormat="1" x14ac:dyDescent="0.2">
      <c r="D106" s="20" t="s">
        <v>75</v>
      </c>
      <c r="E106" s="20" t="s">
        <v>111</v>
      </c>
    </row>
    <row r="107" spans="1:6" s="1" customFormat="1" x14ac:dyDescent="0.2">
      <c r="A107" s="1" t="s">
        <v>489</v>
      </c>
      <c r="D107" s="20">
        <v>1.5</v>
      </c>
      <c r="E107" s="20" t="s">
        <v>62</v>
      </c>
    </row>
    <row r="108" spans="1:6" s="1" customFormat="1" x14ac:dyDescent="0.2">
      <c r="A108" s="1" t="s">
        <v>1158</v>
      </c>
      <c r="D108" s="20">
        <v>6.09</v>
      </c>
      <c r="E108" s="20" t="s">
        <v>63</v>
      </c>
    </row>
    <row r="109" spans="1:6" s="1" customFormat="1" x14ac:dyDescent="0.2">
      <c r="A109" s="1" t="s">
        <v>1159</v>
      </c>
      <c r="D109" s="142">
        <f>PV(D108/100,D107,D110,D111)</f>
        <v>-457570.8296765798</v>
      </c>
      <c r="E109" s="20" t="s">
        <v>64</v>
      </c>
      <c r="F109" s="1" t="s">
        <v>77</v>
      </c>
    </row>
    <row r="110" spans="1:6" s="1" customFormat="1" x14ac:dyDescent="0.2">
      <c r="D110" s="20">
        <v>0</v>
      </c>
      <c r="E110" s="20" t="s">
        <v>65</v>
      </c>
    </row>
    <row r="111" spans="1:6" s="1" customFormat="1" x14ac:dyDescent="0.2">
      <c r="A111" s="1" t="s">
        <v>1160</v>
      </c>
      <c r="D111" s="57">
        <v>500000</v>
      </c>
      <c r="E111" s="20" t="s">
        <v>66</v>
      </c>
    </row>
    <row r="112" spans="1:6" s="1" customFormat="1" x14ac:dyDescent="0.2"/>
    <row r="113" spans="1:8" s="1" customFormat="1" x14ac:dyDescent="0.2">
      <c r="A113" s="1" t="s">
        <v>1161</v>
      </c>
    </row>
    <row r="114" spans="1:8" s="1" customFormat="1" x14ac:dyDescent="0.2"/>
    <row r="115" spans="1:8" s="1" customFormat="1" x14ac:dyDescent="0.2">
      <c r="A115" s="18" t="s">
        <v>1162</v>
      </c>
    </row>
    <row r="116" spans="1:8" s="1" customFormat="1" x14ac:dyDescent="0.2">
      <c r="A116" s="1" t="s">
        <v>1163</v>
      </c>
    </row>
    <row r="117" spans="1:8" s="1" customFormat="1" x14ac:dyDescent="0.2"/>
    <row r="118" spans="1:8" s="1" customFormat="1" x14ac:dyDescent="0.2">
      <c r="C118" s="27" t="s">
        <v>1157</v>
      </c>
      <c r="D118" s="10" t="s">
        <v>362</v>
      </c>
      <c r="E118" s="27" t="s">
        <v>60</v>
      </c>
    </row>
    <row r="119" spans="1:8" s="1" customFormat="1" x14ac:dyDescent="0.2">
      <c r="C119" s="20" t="s">
        <v>75</v>
      </c>
      <c r="D119" s="20" t="s">
        <v>75</v>
      </c>
      <c r="E119" s="20" t="s">
        <v>111</v>
      </c>
    </row>
    <row r="120" spans="1:8" s="1" customFormat="1" x14ac:dyDescent="0.2">
      <c r="C120" s="20">
        <v>1.5</v>
      </c>
      <c r="D120" s="20">
        <v>9999</v>
      </c>
      <c r="E120" s="20" t="s">
        <v>62</v>
      </c>
    </row>
    <row r="121" spans="1:8" s="1" customFormat="1" x14ac:dyDescent="0.2">
      <c r="C121" s="20">
        <v>6.09</v>
      </c>
      <c r="D121" s="20">
        <v>3</v>
      </c>
      <c r="E121" s="20" t="s">
        <v>63</v>
      </c>
    </row>
    <row r="122" spans="1:8" s="1" customFormat="1" x14ac:dyDescent="0.2">
      <c r="C122" s="142">
        <f>PV(C121/100,C120,C123,C124)</f>
        <v>-457570.82967657986</v>
      </c>
      <c r="D122" s="57">
        <f>PV(D121/100,D120,D123,D124)</f>
        <v>-500000.00000000006</v>
      </c>
      <c r="E122" s="20" t="s">
        <v>64</v>
      </c>
      <c r="F122" s="1" t="s">
        <v>1164</v>
      </c>
    </row>
    <row r="123" spans="1:8" s="1" customFormat="1" x14ac:dyDescent="0.2">
      <c r="C123" s="20">
        <v>0</v>
      </c>
      <c r="D123" s="20">
        <v>15000</v>
      </c>
      <c r="E123" s="20" t="s">
        <v>65</v>
      </c>
    </row>
    <row r="124" spans="1:8" s="1" customFormat="1" x14ac:dyDescent="0.2">
      <c r="C124" s="57">
        <f>-D122</f>
        <v>500000.00000000006</v>
      </c>
      <c r="D124" s="20">
        <v>0</v>
      </c>
      <c r="E124" s="20" t="s">
        <v>66</v>
      </c>
    </row>
    <row r="125" spans="1:8" s="1" customFormat="1" x14ac:dyDescent="0.2"/>
    <row r="126" spans="1:8" s="1" customFormat="1" x14ac:dyDescent="0.2">
      <c r="A126" s="139" t="s">
        <v>1165</v>
      </c>
      <c r="B126" s="139"/>
      <c r="C126" s="139"/>
      <c r="D126" s="139"/>
      <c r="E126" s="139"/>
      <c r="F126" s="139"/>
      <c r="G126" s="139"/>
      <c r="H126" s="139"/>
    </row>
    <row r="127" spans="1:8" s="1" customFormat="1" x14ac:dyDescent="0.2">
      <c r="A127" s="1" t="s">
        <v>1166</v>
      </c>
    </row>
    <row r="128" spans="1:8" s="1" customFormat="1" x14ac:dyDescent="0.2">
      <c r="A128" s="1" t="s">
        <v>1167</v>
      </c>
    </row>
    <row r="129" spans="1:6" s="1" customFormat="1" x14ac:dyDescent="0.2">
      <c r="A129" s="1" t="s">
        <v>1168</v>
      </c>
    </row>
    <row r="130" spans="1:6" s="1" customFormat="1" x14ac:dyDescent="0.2">
      <c r="A130" s="1" t="s">
        <v>1169</v>
      </c>
    </row>
    <row r="131" spans="1:6" s="1" customFormat="1" x14ac:dyDescent="0.2"/>
    <row r="132" spans="1:6" s="1" customFormat="1" x14ac:dyDescent="0.2">
      <c r="A132" s="1" t="s">
        <v>1170</v>
      </c>
    </row>
    <row r="133" spans="1:6" s="1" customFormat="1" x14ac:dyDescent="0.2">
      <c r="F133" s="1" t="s">
        <v>60</v>
      </c>
    </row>
    <row r="134" spans="1:6" s="1" customFormat="1" x14ac:dyDescent="0.2">
      <c r="E134" s="20" t="s">
        <v>75</v>
      </c>
      <c r="F134" s="1" t="s">
        <v>111</v>
      </c>
    </row>
    <row r="135" spans="1:6" s="1" customFormat="1" x14ac:dyDescent="0.2">
      <c r="E135" s="20">
        <f>20-10</f>
        <v>10</v>
      </c>
      <c r="F135" s="1" t="s">
        <v>62</v>
      </c>
    </row>
    <row r="136" spans="1:6" s="1" customFormat="1" x14ac:dyDescent="0.2">
      <c r="E136" s="20">
        <v>5</v>
      </c>
      <c r="F136" s="1" t="s">
        <v>63</v>
      </c>
    </row>
    <row r="137" spans="1:6" s="1" customFormat="1" x14ac:dyDescent="0.2">
      <c r="E137" s="20">
        <v>100000</v>
      </c>
      <c r="F137" s="1" t="s">
        <v>64</v>
      </c>
    </row>
    <row r="138" spans="1:6" s="1" customFormat="1" x14ac:dyDescent="0.2">
      <c r="E138" s="50">
        <f>PMT(E136/100,E135,E137,E139)</f>
        <v>-12950.457496545667</v>
      </c>
      <c r="F138" s="1" t="s">
        <v>65</v>
      </c>
    </row>
    <row r="139" spans="1:6" s="1" customFormat="1" x14ac:dyDescent="0.2">
      <c r="E139" s="20">
        <v>0</v>
      </c>
      <c r="F139" s="1" t="s">
        <v>66</v>
      </c>
    </row>
    <row r="140" spans="1:6" s="1" customFormat="1" x14ac:dyDescent="0.2"/>
    <row r="141" spans="1:6" s="1" customFormat="1" x14ac:dyDescent="0.2">
      <c r="A141" s="1" t="s">
        <v>1171</v>
      </c>
    </row>
    <row r="142" spans="1:6" s="1" customFormat="1" x14ac:dyDescent="0.2">
      <c r="F142" s="1" t="s">
        <v>436</v>
      </c>
    </row>
    <row r="143" spans="1:6" s="1" customFormat="1" x14ac:dyDescent="0.2">
      <c r="E143" s="20">
        <v>6</v>
      </c>
      <c r="F143" s="1" t="s">
        <v>437</v>
      </c>
    </row>
    <row r="144" spans="1:6" s="1" customFormat="1" x14ac:dyDescent="0.2">
      <c r="E144" s="20">
        <v>6</v>
      </c>
      <c r="F144" s="1" t="s">
        <v>438</v>
      </c>
    </row>
    <row r="145" spans="1:8" s="1" customFormat="1" x14ac:dyDescent="0.2">
      <c r="E145" s="20"/>
      <c r="F145" s="1" t="s">
        <v>1172</v>
      </c>
    </row>
    <row r="146" spans="1:8" s="1" customFormat="1" x14ac:dyDescent="0.2">
      <c r="E146" s="20"/>
      <c r="F146" s="1" t="s">
        <v>1172</v>
      </c>
    </row>
    <row r="147" spans="1:8" s="1" customFormat="1" x14ac:dyDescent="0.2">
      <c r="A147" s="1" t="s">
        <v>1173</v>
      </c>
      <c r="E147" s="143">
        <f>E138*PV(5%,4,-1)</f>
        <v>-45921.681289009328</v>
      </c>
      <c r="F147" s="1" t="s">
        <v>1174</v>
      </c>
      <c r="G147" s="1" t="s">
        <v>227</v>
      </c>
    </row>
    <row r="148" spans="1:8" s="1" customFormat="1" x14ac:dyDescent="0.2"/>
    <row r="149" spans="1:8" s="1" customFormat="1" x14ac:dyDescent="0.2">
      <c r="A149" s="1" t="s">
        <v>1175</v>
      </c>
    </row>
    <row r="150" spans="1:8" s="1" customFormat="1" x14ac:dyDescent="0.2">
      <c r="A150" s="1" t="s">
        <v>1176</v>
      </c>
    </row>
    <row r="151" spans="1:8" s="1" customFormat="1" x14ac:dyDescent="0.2"/>
    <row r="152" spans="1:8" s="1" customFormat="1" x14ac:dyDescent="0.2"/>
    <row r="153" spans="1:8" s="1" customFormat="1" x14ac:dyDescent="0.2">
      <c r="B153" s="142">
        <f>-E147*1.08^6</f>
        <v>72871.936903946858</v>
      </c>
    </row>
    <row r="154" spans="1:8" s="1" customFormat="1" x14ac:dyDescent="0.2"/>
    <row r="155" spans="1:8" s="1" customFormat="1" x14ac:dyDescent="0.2">
      <c r="A155" s="1" t="s">
        <v>1177</v>
      </c>
    </row>
    <row r="156" spans="1:8" s="1" customFormat="1" x14ac:dyDescent="0.2"/>
    <row r="157" spans="1:8" s="1" customFormat="1" x14ac:dyDescent="0.2"/>
    <row r="158" spans="1:8" s="1" customFormat="1" x14ac:dyDescent="0.2">
      <c r="A158" s="139" t="s">
        <v>1178</v>
      </c>
      <c r="B158" s="139"/>
      <c r="C158" s="139"/>
      <c r="D158" s="139"/>
      <c r="E158" s="139"/>
      <c r="F158" s="139"/>
      <c r="G158" s="139"/>
      <c r="H158" s="139"/>
    </row>
    <row r="159" spans="1:8" s="1" customFormat="1" x14ac:dyDescent="0.2"/>
    <row r="160" spans="1:8" s="1" customFormat="1" x14ac:dyDescent="0.2">
      <c r="F160" s="20">
        <v>0</v>
      </c>
    </row>
    <row r="161" spans="1:6" s="1" customFormat="1" x14ac:dyDescent="0.2"/>
    <row r="162" spans="1:6" s="1" customFormat="1" x14ac:dyDescent="0.2">
      <c r="F162" s="1" t="s">
        <v>1179</v>
      </c>
    </row>
    <row r="163" spans="1:6" s="1" customFormat="1" x14ac:dyDescent="0.2">
      <c r="D163" s="1" t="s">
        <v>1180</v>
      </c>
    </row>
    <row r="164" spans="1:6" s="1" customFormat="1" x14ac:dyDescent="0.2">
      <c r="D164" s="1" t="s">
        <v>1143</v>
      </c>
    </row>
    <row r="165" spans="1:6" s="1" customFormat="1" x14ac:dyDescent="0.2">
      <c r="D165" s="1" t="s">
        <v>1181</v>
      </c>
    </row>
    <row r="166" spans="1:6" s="1" customFormat="1" x14ac:dyDescent="0.2"/>
    <row r="167" spans="1:6" s="1" customFormat="1" x14ac:dyDescent="0.2">
      <c r="A167" s="1" t="s">
        <v>1182</v>
      </c>
    </row>
    <row r="168" spans="1:6" s="1" customFormat="1" x14ac:dyDescent="0.2">
      <c r="A168" s="1" t="s">
        <v>1183</v>
      </c>
    </row>
    <row r="169" spans="1:6" s="1" customFormat="1" x14ac:dyDescent="0.2">
      <c r="A169" s="1" t="s">
        <v>1184</v>
      </c>
    </row>
    <row r="170" spans="1:6" s="1" customFormat="1" x14ac:dyDescent="0.2">
      <c r="A170" s="1" t="s">
        <v>1185</v>
      </c>
    </row>
    <row r="171" spans="1:6" s="1" customFormat="1" x14ac:dyDescent="0.2"/>
    <row r="172" spans="1:6" s="1" customFormat="1" x14ac:dyDescent="0.2">
      <c r="E172" s="20">
        <v>1</v>
      </c>
      <c r="F172" s="20">
        <v>0</v>
      </c>
    </row>
    <row r="173" spans="1:6" s="1" customFormat="1" x14ac:dyDescent="0.2"/>
    <row r="174" spans="1:6" s="1" customFormat="1" x14ac:dyDescent="0.2">
      <c r="F174" s="1" t="s">
        <v>1186</v>
      </c>
    </row>
    <row r="175" spans="1:6" s="1" customFormat="1" x14ac:dyDescent="0.2">
      <c r="D175" s="1" t="s">
        <v>1180</v>
      </c>
      <c r="F175" s="1" t="s">
        <v>1179</v>
      </c>
    </row>
    <row r="176" spans="1:6" s="1" customFormat="1" x14ac:dyDescent="0.2">
      <c r="D176" s="1" t="s">
        <v>1143</v>
      </c>
    </row>
    <row r="177" spans="1:6" s="1" customFormat="1" x14ac:dyDescent="0.2">
      <c r="D177" s="1" t="s">
        <v>1181</v>
      </c>
    </row>
    <row r="178" spans="1:6" s="1" customFormat="1" x14ac:dyDescent="0.2"/>
    <row r="179" spans="1:6" s="1" customFormat="1" x14ac:dyDescent="0.2"/>
    <row r="180" spans="1:6" s="1" customFormat="1" x14ac:dyDescent="0.2">
      <c r="A180" s="1" t="s">
        <v>1187</v>
      </c>
    </row>
    <row r="181" spans="1:6" s="1" customFormat="1" x14ac:dyDescent="0.2">
      <c r="A181" s="1" t="s">
        <v>1188</v>
      </c>
    </row>
    <row r="182" spans="1:6" s="1" customFormat="1" x14ac:dyDescent="0.2"/>
    <row r="183" spans="1:6" s="1" customFormat="1" x14ac:dyDescent="0.2"/>
    <row r="184" spans="1:6" s="1" customFormat="1" x14ac:dyDescent="0.2"/>
    <row r="185" spans="1:6" s="1" customFormat="1" x14ac:dyDescent="0.2">
      <c r="A185" s="18" t="s">
        <v>1189</v>
      </c>
    </row>
    <row r="186" spans="1:6" s="1" customFormat="1" x14ac:dyDescent="0.2">
      <c r="A186" s="18" t="s">
        <v>1190</v>
      </c>
    </row>
    <row r="187" spans="1:6" s="1" customFormat="1" x14ac:dyDescent="0.2"/>
    <row r="188" spans="1:6" s="1" customFormat="1" x14ac:dyDescent="0.2">
      <c r="E188" s="1" t="s">
        <v>60</v>
      </c>
    </row>
    <row r="189" spans="1:6" s="1" customFormat="1" x14ac:dyDescent="0.2">
      <c r="D189" s="20" t="s">
        <v>152</v>
      </c>
      <c r="E189" s="1" t="s">
        <v>111</v>
      </c>
    </row>
    <row r="190" spans="1:6" s="1" customFormat="1" x14ac:dyDescent="0.2">
      <c r="D190" s="20">
        <v>99999</v>
      </c>
      <c r="E190" s="1" t="s">
        <v>62</v>
      </c>
    </row>
    <row r="191" spans="1:6" s="1" customFormat="1" x14ac:dyDescent="0.2">
      <c r="D191" s="144">
        <v>6.8400000000000002E-2</v>
      </c>
      <c r="E191" s="1" t="s">
        <v>63</v>
      </c>
      <c r="F191" s="1" t="s">
        <v>227</v>
      </c>
    </row>
    <row r="192" spans="1:6" s="1" customFormat="1" x14ac:dyDescent="0.2">
      <c r="D192" s="20">
        <v>18750</v>
      </c>
      <c r="E192" s="1" t="s">
        <v>64</v>
      </c>
    </row>
    <row r="193" spans="1:8" s="1" customFormat="1" x14ac:dyDescent="0.2">
      <c r="D193" s="20">
        <v>-1200</v>
      </c>
      <c r="E193" s="1" t="s">
        <v>65</v>
      </c>
    </row>
    <row r="194" spans="1:8" s="1" customFormat="1" x14ac:dyDescent="0.2">
      <c r="D194" s="20">
        <v>0</v>
      </c>
      <c r="E194" s="1" t="s">
        <v>66</v>
      </c>
    </row>
    <row r="195" spans="1:8" s="1" customFormat="1" x14ac:dyDescent="0.2"/>
    <row r="196" spans="1:8" s="1" customFormat="1" x14ac:dyDescent="0.2">
      <c r="A196" s="139" t="s">
        <v>1191</v>
      </c>
      <c r="B196" s="139" t="s">
        <v>1192</v>
      </c>
      <c r="C196" s="139"/>
      <c r="D196" s="139"/>
      <c r="E196" s="139"/>
      <c r="F196" s="139"/>
      <c r="G196" s="139"/>
      <c r="H196" s="139"/>
    </row>
    <row r="197" spans="1:8" s="1" customFormat="1" x14ac:dyDescent="0.2"/>
    <row r="198" spans="1:8" s="1" customFormat="1" x14ac:dyDescent="0.2"/>
    <row r="199" spans="1:8" s="1" customFormat="1" x14ac:dyDescent="0.2"/>
    <row r="200" spans="1:8" s="1" customFormat="1" x14ac:dyDescent="0.2"/>
    <row r="201" spans="1:8" s="1" customFormat="1" x14ac:dyDescent="0.2"/>
    <row r="202" spans="1:8" s="1" customFormat="1" x14ac:dyDescent="0.2"/>
    <row r="203" spans="1:8" s="1" customFormat="1" x14ac:dyDescent="0.2"/>
    <row r="204" spans="1:8" s="1" customFormat="1" x14ac:dyDescent="0.2"/>
    <row r="205" spans="1:8" s="1" customFormat="1" x14ac:dyDescent="0.2"/>
    <row r="206" spans="1:8" s="1" customFormat="1" x14ac:dyDescent="0.2"/>
    <row r="207" spans="1:8" s="1" customFormat="1" x14ac:dyDescent="0.2"/>
    <row r="208" spans="1:8" s="1" customFormat="1" x14ac:dyDescent="0.2"/>
    <row r="209" spans="1:7" s="1" customFormat="1" x14ac:dyDescent="0.2"/>
    <row r="210" spans="1:7" s="1" customFormat="1" x14ac:dyDescent="0.2">
      <c r="A210" s="1" t="s">
        <v>146</v>
      </c>
    </row>
    <row r="211" spans="1:7" s="1" customFormat="1" x14ac:dyDescent="0.2"/>
    <row r="212" spans="1:7" s="1" customFormat="1" x14ac:dyDescent="0.2">
      <c r="A212" s="18" t="s">
        <v>2826</v>
      </c>
    </row>
    <row r="213" spans="1:7" s="1" customFormat="1" x14ac:dyDescent="0.2">
      <c r="A213" s="18" t="s">
        <v>2827</v>
      </c>
    </row>
    <row r="214" spans="1:7" s="1" customFormat="1" x14ac:dyDescent="0.2">
      <c r="A214" s="18"/>
    </row>
    <row r="215" spans="1:7" s="1" customFormat="1" x14ac:dyDescent="0.2"/>
    <row r="216" spans="1:7" s="1" customFormat="1" x14ac:dyDescent="0.2">
      <c r="F216" s="1" t="s">
        <v>1139</v>
      </c>
    </row>
    <row r="217" spans="1:7" s="1" customFormat="1" x14ac:dyDescent="0.2">
      <c r="D217" s="20">
        <v>3</v>
      </c>
      <c r="E217" s="46">
        <v>2</v>
      </c>
      <c r="F217" s="20"/>
      <c r="G217" s="20">
        <v>0</v>
      </c>
    </row>
    <row r="218" spans="1:7" s="1" customFormat="1" x14ac:dyDescent="0.2">
      <c r="D218" s="20"/>
      <c r="E218" s="20"/>
      <c r="F218" s="20"/>
      <c r="G218" s="20"/>
    </row>
    <row r="219" spans="1:7" s="1" customFormat="1" x14ac:dyDescent="0.2">
      <c r="A219" s="1" t="s">
        <v>29</v>
      </c>
      <c r="D219" s="20"/>
      <c r="E219" s="20"/>
      <c r="F219" s="20"/>
      <c r="G219" s="20" t="s">
        <v>1140</v>
      </c>
    </row>
    <row r="220" spans="1:7" s="1" customFormat="1" x14ac:dyDescent="0.2">
      <c r="D220" s="20"/>
      <c r="E220" s="20"/>
      <c r="F220" s="20"/>
      <c r="G220" s="20"/>
    </row>
    <row r="221" spans="1:7" s="1" customFormat="1" x14ac:dyDescent="0.2">
      <c r="B221" s="20" t="s">
        <v>75</v>
      </c>
      <c r="C221" s="20" t="s">
        <v>61</v>
      </c>
      <c r="E221" s="1" t="s">
        <v>1142</v>
      </c>
    </row>
    <row r="222" spans="1:7" s="1" customFormat="1" x14ac:dyDescent="0.2">
      <c r="B222" s="20">
        <v>35</v>
      </c>
      <c r="C222" s="20" t="s">
        <v>62</v>
      </c>
      <c r="E222" s="1" t="s">
        <v>1144</v>
      </c>
    </row>
    <row r="223" spans="1:7" s="1" customFormat="1" x14ac:dyDescent="0.2">
      <c r="B223" s="20">
        <v>5</v>
      </c>
      <c r="C223" s="20" t="s">
        <v>63</v>
      </c>
      <c r="E223" s="1" t="s">
        <v>1146</v>
      </c>
    </row>
    <row r="224" spans="1:7" s="1" customFormat="1" x14ac:dyDescent="0.2">
      <c r="B224" s="50">
        <f>PV(B223/100,B222,B225,B226)</f>
        <v>-81870.971464742281</v>
      </c>
      <c r="C224" s="20" t="s">
        <v>64</v>
      </c>
      <c r="D224" s="29" t="s">
        <v>227</v>
      </c>
      <c r="E224" s="1" t="s">
        <v>1194</v>
      </c>
    </row>
    <row r="225" spans="1:8" s="1" customFormat="1" x14ac:dyDescent="0.2">
      <c r="B225" s="20">
        <v>5000</v>
      </c>
      <c r="C225" s="20" t="s">
        <v>65</v>
      </c>
    </row>
    <row r="226" spans="1:8" s="1" customFormat="1" x14ac:dyDescent="0.2">
      <c r="B226" s="20">
        <v>0</v>
      </c>
      <c r="C226" s="20" t="s">
        <v>66</v>
      </c>
    </row>
    <row r="227" spans="1:8" s="1" customFormat="1" x14ac:dyDescent="0.2"/>
    <row r="228" spans="1:8" s="1" customFormat="1" x14ac:dyDescent="0.2"/>
    <row r="229" spans="1:8" s="1" customFormat="1" x14ac:dyDescent="0.2">
      <c r="D229" s="27" t="s">
        <v>1157</v>
      </c>
      <c r="E229" s="27" t="s">
        <v>364</v>
      </c>
      <c r="F229" s="27" t="s">
        <v>60</v>
      </c>
    </row>
    <row r="230" spans="1:8" s="1" customFormat="1" x14ac:dyDescent="0.2">
      <c r="D230" s="20" t="s">
        <v>75</v>
      </c>
      <c r="E230" s="20" t="s">
        <v>75</v>
      </c>
      <c r="F230" s="20" t="s">
        <v>111</v>
      </c>
    </row>
    <row r="231" spans="1:8" s="1" customFormat="1" x14ac:dyDescent="0.2">
      <c r="D231" s="20">
        <v>2</v>
      </c>
      <c r="E231" s="20">
        <v>35</v>
      </c>
      <c r="F231" s="20" t="s">
        <v>62</v>
      </c>
    </row>
    <row r="232" spans="1:8" s="1" customFormat="1" ht="17" thickBot="1" x14ac:dyDescent="0.25">
      <c r="D232" s="20">
        <f>E232</f>
        <v>5</v>
      </c>
      <c r="E232" s="20">
        <v>5</v>
      </c>
      <c r="F232" s="20" t="s">
        <v>63</v>
      </c>
    </row>
    <row r="233" spans="1:8" s="1" customFormat="1" ht="17" thickBot="1" x14ac:dyDescent="0.25">
      <c r="D233" s="145">
        <f>PV(D232/100,D231,D234,D235)</f>
        <v>-74259.384548519069</v>
      </c>
      <c r="E233" s="57">
        <f>PV(E232/100,E231,E234,E235)</f>
        <v>-81870.971464742281</v>
      </c>
      <c r="F233" s="20" t="s">
        <v>64</v>
      </c>
      <c r="G233" s="1" t="s">
        <v>1164</v>
      </c>
    </row>
    <row r="234" spans="1:8" s="1" customFormat="1" x14ac:dyDescent="0.2">
      <c r="D234" s="20">
        <v>0</v>
      </c>
      <c r="E234" s="20">
        <v>5000</v>
      </c>
      <c r="F234" s="20" t="s">
        <v>65</v>
      </c>
    </row>
    <row r="235" spans="1:8" s="1" customFormat="1" x14ac:dyDescent="0.2">
      <c r="D235" s="57">
        <f>-E233</f>
        <v>81870.971464742281</v>
      </c>
      <c r="E235" s="20">
        <v>0</v>
      </c>
      <c r="F235" s="20" t="s">
        <v>66</v>
      </c>
    </row>
    <row r="236" spans="1:8" s="1" customFormat="1" x14ac:dyDescent="0.2"/>
    <row r="237" spans="1:8" s="1" customFormat="1" x14ac:dyDescent="0.2">
      <c r="A237" s="1" t="s">
        <v>1195</v>
      </c>
    </row>
    <row r="238" spans="1:8" s="1" customFormat="1" x14ac:dyDescent="0.2">
      <c r="A238" s="18" t="s">
        <v>1196</v>
      </c>
    </row>
    <row r="239" spans="1:8" s="1" customFormat="1" x14ac:dyDescent="0.2"/>
    <row r="240" spans="1:8" s="1" customFormat="1" x14ac:dyDescent="0.2">
      <c r="A240" s="139" t="s">
        <v>1197</v>
      </c>
      <c r="B240" s="139"/>
      <c r="C240" s="139"/>
      <c r="D240" s="139"/>
      <c r="E240" s="139"/>
      <c r="F240" s="139"/>
      <c r="G240" s="139"/>
      <c r="H240" s="139"/>
    </row>
    <row r="241" spans="1:6" s="1" customFormat="1" x14ac:dyDescent="0.2"/>
    <row r="242" spans="1:6" s="1" customFormat="1" x14ac:dyDescent="0.2">
      <c r="B242" s="20" t="s">
        <v>1198</v>
      </c>
      <c r="C242" s="20">
        <v>1.5</v>
      </c>
      <c r="D242" s="20">
        <v>1</v>
      </c>
      <c r="E242" s="20">
        <v>0.5</v>
      </c>
      <c r="F242" s="20">
        <v>0</v>
      </c>
    </row>
    <row r="243" spans="1:6" s="1" customFormat="1" x14ac:dyDescent="0.2"/>
    <row r="244" spans="1:6" s="1" customFormat="1" x14ac:dyDescent="0.2"/>
    <row r="245" spans="1:6" s="1" customFormat="1" x14ac:dyDescent="0.2">
      <c r="D245" s="1" t="s">
        <v>1199</v>
      </c>
    </row>
    <row r="246" spans="1:6" s="1" customFormat="1" x14ac:dyDescent="0.2">
      <c r="D246" s="1" t="s">
        <v>1200</v>
      </c>
    </row>
    <row r="247" spans="1:6" s="1" customFormat="1" x14ac:dyDescent="0.2">
      <c r="C247" s="1" t="s">
        <v>1145</v>
      </c>
    </row>
    <row r="248" spans="1:6" s="1" customFormat="1" x14ac:dyDescent="0.2">
      <c r="D248" s="1" t="s">
        <v>1201</v>
      </c>
    </row>
    <row r="249" spans="1:6" s="1" customFormat="1" x14ac:dyDescent="0.2"/>
    <row r="250" spans="1:6" s="1" customFormat="1" x14ac:dyDescent="0.2">
      <c r="B250" s="1" t="s">
        <v>1202</v>
      </c>
    </row>
    <row r="251" spans="1:6" s="1" customFormat="1" x14ac:dyDescent="0.2">
      <c r="B251" s="1" t="s">
        <v>1203</v>
      </c>
    </row>
    <row r="252" spans="1:6" s="1" customFormat="1" x14ac:dyDescent="0.2"/>
    <row r="253" spans="1:6" s="1" customFormat="1" x14ac:dyDescent="0.2"/>
    <row r="254" spans="1:6" s="1" customFormat="1" x14ac:dyDescent="0.2"/>
    <row r="255" spans="1:6" s="1" customFormat="1" x14ac:dyDescent="0.2">
      <c r="A255" s="1" t="s">
        <v>1204</v>
      </c>
    </row>
    <row r="256" spans="1:6" s="1" customFormat="1" x14ac:dyDescent="0.2"/>
    <row r="257" spans="1:8" s="1" customFormat="1" x14ac:dyDescent="0.2"/>
    <row r="258" spans="1:8" s="1" customFormat="1" x14ac:dyDescent="0.2"/>
    <row r="259" spans="1:8" s="1" customFormat="1" x14ac:dyDescent="0.2">
      <c r="A259" s="1" t="s">
        <v>1205</v>
      </c>
    </row>
    <row r="260" spans="1:8" s="1" customFormat="1" x14ac:dyDescent="0.2">
      <c r="E260" s="27" t="s">
        <v>364</v>
      </c>
      <c r="F260" s="27" t="s">
        <v>60</v>
      </c>
    </row>
    <row r="261" spans="1:8" s="1" customFormat="1" x14ac:dyDescent="0.2">
      <c r="E261" s="20" t="s">
        <v>75</v>
      </c>
      <c r="F261" s="20" t="s">
        <v>111</v>
      </c>
    </row>
    <row r="262" spans="1:8" s="1" customFormat="1" x14ac:dyDescent="0.2">
      <c r="E262" s="20">
        <v>999</v>
      </c>
      <c r="F262" s="20" t="s">
        <v>62</v>
      </c>
    </row>
    <row r="263" spans="1:8" s="1" customFormat="1" x14ac:dyDescent="0.2">
      <c r="E263" s="20">
        <v>2.4695</v>
      </c>
      <c r="F263" s="20" t="s">
        <v>63</v>
      </c>
    </row>
    <row r="264" spans="1:8" s="1" customFormat="1" x14ac:dyDescent="0.2">
      <c r="A264" s="1" t="s">
        <v>1206</v>
      </c>
      <c r="E264" s="146">
        <f>PV(E263/100,E262,E265,E266)</f>
        <v>-1214.8208138982868</v>
      </c>
      <c r="F264" s="20" t="s">
        <v>64</v>
      </c>
      <c r="G264" s="1" t="s">
        <v>227</v>
      </c>
    </row>
    <row r="265" spans="1:8" s="1" customFormat="1" x14ac:dyDescent="0.2">
      <c r="E265" s="20">
        <v>30</v>
      </c>
      <c r="F265" s="20" t="s">
        <v>65</v>
      </c>
    </row>
    <row r="266" spans="1:8" s="1" customFormat="1" x14ac:dyDescent="0.2">
      <c r="E266" s="20">
        <v>0</v>
      </c>
      <c r="F266" s="20" t="s">
        <v>66</v>
      </c>
    </row>
    <row r="267" spans="1:8" s="1" customFormat="1" x14ac:dyDescent="0.2"/>
    <row r="268" spans="1:8" s="1" customFormat="1" x14ac:dyDescent="0.2">
      <c r="A268" s="139" t="s">
        <v>1207</v>
      </c>
      <c r="B268" s="139"/>
      <c r="C268" s="139"/>
      <c r="D268" s="139"/>
      <c r="E268" s="139"/>
      <c r="F268" s="139"/>
      <c r="G268" s="139"/>
      <c r="H268" s="139"/>
    </row>
    <row r="269" spans="1:8" s="1" customFormat="1" x14ac:dyDescent="0.2">
      <c r="A269" s="1" t="s">
        <v>1208</v>
      </c>
    </row>
    <row r="270" spans="1:8" s="1" customFormat="1" x14ac:dyDescent="0.2">
      <c r="A270" s="1" t="s">
        <v>1209</v>
      </c>
    </row>
    <row r="271" spans="1:8" s="1" customFormat="1" x14ac:dyDescent="0.2"/>
    <row r="272" spans="1:8" s="1" customFormat="1" x14ac:dyDescent="0.2">
      <c r="A272" s="1" t="s">
        <v>1210</v>
      </c>
    </row>
    <row r="273" spans="1:8" s="1" customFormat="1" x14ac:dyDescent="0.2">
      <c r="A273" s="1" t="s">
        <v>1211</v>
      </c>
    </row>
    <row r="274" spans="1:8" s="1" customFormat="1" x14ac:dyDescent="0.2"/>
    <row r="275" spans="1:8" s="1" customFormat="1" x14ac:dyDescent="0.2"/>
    <row r="276" spans="1:8" s="1" customFormat="1" x14ac:dyDescent="0.2"/>
    <row r="277" spans="1:8" s="1" customFormat="1" x14ac:dyDescent="0.2"/>
    <row r="278" spans="1:8" s="1" customFormat="1" x14ac:dyDescent="0.2"/>
    <row r="279" spans="1:8" s="1" customFormat="1" x14ac:dyDescent="0.2"/>
    <row r="280" spans="1:8" s="1" customFormat="1" x14ac:dyDescent="0.2">
      <c r="A280" s="1" t="s">
        <v>1177</v>
      </c>
    </row>
    <row r="281" spans="1:8" s="1" customFormat="1" x14ac:dyDescent="0.2"/>
    <row r="282" spans="1:8" s="1" customFormat="1" x14ac:dyDescent="0.2">
      <c r="A282" s="139" t="s">
        <v>1212</v>
      </c>
      <c r="B282" s="139"/>
      <c r="C282" s="139"/>
      <c r="D282" s="139"/>
      <c r="E282" s="139"/>
      <c r="F282" s="139"/>
      <c r="G282" s="139"/>
      <c r="H282" s="139"/>
    </row>
    <row r="283" spans="1:8" s="1" customFormat="1" x14ac:dyDescent="0.2"/>
    <row r="284" spans="1:8" s="1" customFormat="1" x14ac:dyDescent="0.2">
      <c r="A284" s="1" t="s">
        <v>1213</v>
      </c>
    </row>
    <row r="285" spans="1:8" s="1" customFormat="1" x14ac:dyDescent="0.2">
      <c r="A285" s="1" t="s">
        <v>1214</v>
      </c>
    </row>
    <row r="286" spans="1:8" s="1" customFormat="1" x14ac:dyDescent="0.2">
      <c r="A286" s="1" t="s">
        <v>1215</v>
      </c>
    </row>
    <row r="287" spans="1:8" s="1" customFormat="1" x14ac:dyDescent="0.2"/>
    <row r="288" spans="1:8" s="1" customFormat="1" x14ac:dyDescent="0.2">
      <c r="A288" s="1" t="s">
        <v>1216</v>
      </c>
    </row>
    <row r="289" spans="1:6" s="1" customFormat="1" x14ac:dyDescent="0.2"/>
    <row r="290" spans="1:6" s="1" customFormat="1" x14ac:dyDescent="0.2"/>
    <row r="291" spans="1:6" s="1" customFormat="1" x14ac:dyDescent="0.2"/>
    <row r="292" spans="1:6" s="1" customFormat="1" x14ac:dyDescent="0.2"/>
    <row r="293" spans="1:6" s="1" customFormat="1" x14ac:dyDescent="0.2"/>
    <row r="294" spans="1:6" s="1" customFormat="1" x14ac:dyDescent="0.2">
      <c r="A294" s="1" t="s">
        <v>1217</v>
      </c>
    </row>
    <row r="295" spans="1:6" s="1" customFormat="1" x14ac:dyDescent="0.2">
      <c r="A295" s="1" t="s">
        <v>1218</v>
      </c>
    </row>
    <row r="296" spans="1:6" s="1" customFormat="1" x14ac:dyDescent="0.2"/>
    <row r="297" spans="1:6" s="1" customFormat="1" x14ac:dyDescent="0.2">
      <c r="F297" s="1" t="s">
        <v>60</v>
      </c>
    </row>
    <row r="298" spans="1:6" s="1" customFormat="1" x14ac:dyDescent="0.2">
      <c r="E298" s="20" t="s">
        <v>75</v>
      </c>
      <c r="F298" s="1" t="s">
        <v>111</v>
      </c>
    </row>
    <row r="299" spans="1:6" s="1" customFormat="1" x14ac:dyDescent="0.2">
      <c r="A299" s="1" t="s">
        <v>1219</v>
      </c>
      <c r="E299" s="20">
        <f>20-10</f>
        <v>10</v>
      </c>
      <c r="F299" s="1" t="s">
        <v>62</v>
      </c>
    </row>
    <row r="300" spans="1:6" s="1" customFormat="1" x14ac:dyDescent="0.2">
      <c r="E300" s="20">
        <v>3</v>
      </c>
      <c r="F300" s="1" t="s">
        <v>63</v>
      </c>
    </row>
    <row r="301" spans="1:6" s="1" customFormat="1" x14ac:dyDescent="0.2">
      <c r="E301" s="20">
        <v>25000</v>
      </c>
      <c r="F301" s="1" t="s">
        <v>64</v>
      </c>
    </row>
    <row r="302" spans="1:6" s="1" customFormat="1" x14ac:dyDescent="0.2">
      <c r="E302" s="50">
        <f>PMT(E300/100,E299,E301,E303)</f>
        <v>-2930.7626651289897</v>
      </c>
      <c r="F302" s="1" t="s">
        <v>65</v>
      </c>
    </row>
    <row r="303" spans="1:6" s="1" customFormat="1" x14ac:dyDescent="0.2">
      <c r="E303" s="20">
        <v>0</v>
      </c>
      <c r="F303" s="1" t="s">
        <v>66</v>
      </c>
    </row>
    <row r="304" spans="1:6" s="1" customFormat="1" x14ac:dyDescent="0.2">
      <c r="E304" s="20"/>
    </row>
    <row r="305" spans="1:8" s="1" customFormat="1" x14ac:dyDescent="0.2">
      <c r="A305" s="1" t="s">
        <v>1220</v>
      </c>
      <c r="E305" s="20"/>
    </row>
    <row r="306" spans="1:8" s="1" customFormat="1" x14ac:dyDescent="0.2">
      <c r="A306" s="1" t="s">
        <v>1221</v>
      </c>
      <c r="E306" s="20"/>
    </row>
    <row r="307" spans="1:8" s="1" customFormat="1" x14ac:dyDescent="0.2">
      <c r="E307" s="20"/>
      <c r="F307" s="1" t="s">
        <v>436</v>
      </c>
    </row>
    <row r="308" spans="1:8" s="1" customFormat="1" x14ac:dyDescent="0.2">
      <c r="A308" s="1" t="s">
        <v>1222</v>
      </c>
      <c r="E308" s="20">
        <v>6</v>
      </c>
      <c r="F308" s="1" t="s">
        <v>1223</v>
      </c>
    </row>
    <row r="309" spans="1:8" s="1" customFormat="1" x14ac:dyDescent="0.2">
      <c r="A309" s="1" t="s">
        <v>1222</v>
      </c>
      <c r="E309" s="20">
        <v>6</v>
      </c>
      <c r="F309" s="1" t="s">
        <v>1224</v>
      </c>
    </row>
    <row r="310" spans="1:8" s="1" customFormat="1" x14ac:dyDescent="0.2">
      <c r="E310" s="20"/>
      <c r="F310" s="1" t="s">
        <v>1172</v>
      </c>
    </row>
    <row r="311" spans="1:8" s="1" customFormat="1" x14ac:dyDescent="0.2">
      <c r="E311" s="20"/>
      <c r="F311" s="1" t="s">
        <v>1172</v>
      </c>
    </row>
    <row r="312" spans="1:8" s="1" customFormat="1" x14ac:dyDescent="0.2">
      <c r="A312" s="1" t="s">
        <v>1225</v>
      </c>
      <c r="E312" s="142">
        <f>E302*PV(3%,4,-1)</f>
        <v>-10893.933221567226</v>
      </c>
      <c r="F312" s="1" t="s">
        <v>1174</v>
      </c>
      <c r="G312" s="1" t="s">
        <v>227</v>
      </c>
    </row>
    <row r="313" spans="1:8" s="1" customFormat="1" x14ac:dyDescent="0.2"/>
    <row r="314" spans="1:8" s="1" customFormat="1" x14ac:dyDescent="0.2">
      <c r="A314" s="139" t="s">
        <v>1458</v>
      </c>
      <c r="B314" s="139"/>
      <c r="C314" s="139"/>
      <c r="D314" s="139"/>
      <c r="E314" s="139"/>
      <c r="F314" s="139"/>
      <c r="G314" s="139"/>
      <c r="H314" s="139"/>
    </row>
    <row r="315" spans="1:8" s="1" customFormat="1" x14ac:dyDescent="0.2"/>
    <row r="316" spans="1:8" s="1" customFormat="1" x14ac:dyDescent="0.2">
      <c r="A316" s="1" t="s">
        <v>1569</v>
      </c>
    </row>
    <row r="317" spans="1:8" s="1" customFormat="1" x14ac:dyDescent="0.2">
      <c r="A317" s="1" t="s">
        <v>1570</v>
      </c>
    </row>
    <row r="318" spans="1:8" s="1" customFormat="1" x14ac:dyDescent="0.2">
      <c r="A318" s="1" t="s">
        <v>1571</v>
      </c>
    </row>
    <row r="319" spans="1:8" s="1" customFormat="1" x14ac:dyDescent="0.2"/>
    <row r="320" spans="1:8" s="1" customFormat="1" x14ac:dyDescent="0.2">
      <c r="A320" s="1" t="s">
        <v>1572</v>
      </c>
    </row>
    <row r="321" spans="1:11" s="1" customFormat="1" x14ac:dyDescent="0.2">
      <c r="A321" s="1" t="s">
        <v>1573</v>
      </c>
    </row>
    <row r="322" spans="1:11" s="1" customFormat="1" x14ac:dyDescent="0.2"/>
    <row r="323" spans="1:11" s="1" customFormat="1" x14ac:dyDescent="0.2">
      <c r="A323" s="1" t="s">
        <v>1574</v>
      </c>
    </row>
    <row r="324" spans="1:11" s="1" customFormat="1" x14ac:dyDescent="0.2"/>
    <row r="325" spans="1:11" s="1" customFormat="1" x14ac:dyDescent="0.2">
      <c r="A325" s="1" t="s">
        <v>1575</v>
      </c>
    </row>
    <row r="326" spans="1:11" s="1" customFormat="1" x14ac:dyDescent="0.2">
      <c r="A326" s="1" t="s">
        <v>1576</v>
      </c>
    </row>
    <row r="327" spans="1:11" s="1" customFormat="1" x14ac:dyDescent="0.2"/>
    <row r="328" spans="1:11" s="1" customFormat="1" x14ac:dyDescent="0.2">
      <c r="A328" s="139" t="s">
        <v>1577</v>
      </c>
      <c r="B328" s="139"/>
      <c r="C328" s="139"/>
      <c r="D328" s="139"/>
      <c r="E328" s="139"/>
      <c r="F328" s="139"/>
      <c r="G328" s="139"/>
      <c r="H328" s="139"/>
    </row>
    <row r="329" spans="1:11" s="1" customFormat="1" x14ac:dyDescent="0.2"/>
    <row r="330" spans="1:11" s="1" customFormat="1" x14ac:dyDescent="0.2">
      <c r="A330" s="1" t="s">
        <v>1578</v>
      </c>
    </row>
    <row r="331" spans="1:11" s="1" customFormat="1" x14ac:dyDescent="0.2">
      <c r="A331" s="1" t="s">
        <v>1579</v>
      </c>
    </row>
    <row r="332" spans="1:11" s="1" customFormat="1" x14ac:dyDescent="0.2"/>
    <row r="333" spans="1:11" s="1" customFormat="1" x14ac:dyDescent="0.2">
      <c r="C333" s="20" t="s">
        <v>739</v>
      </c>
      <c r="D333" s="20"/>
    </row>
    <row r="334" spans="1:11" s="1" customFormat="1" x14ac:dyDescent="0.2">
      <c r="A334" s="10" t="s">
        <v>897</v>
      </c>
      <c r="B334" s="10"/>
      <c r="C334" s="27">
        <v>0</v>
      </c>
      <c r="D334" s="27">
        <v>1</v>
      </c>
      <c r="E334" s="27">
        <v>2</v>
      </c>
      <c r="F334" s="27">
        <v>3</v>
      </c>
      <c r="G334" s="27">
        <v>4</v>
      </c>
      <c r="H334" s="27">
        <v>5</v>
      </c>
      <c r="I334" s="27"/>
      <c r="J334" s="27"/>
      <c r="K334" s="27"/>
    </row>
    <row r="335" spans="1:11" s="1" customFormat="1" x14ac:dyDescent="0.2">
      <c r="A335" s="1" t="s">
        <v>898</v>
      </c>
      <c r="C335" s="20"/>
      <c r="D335" s="101">
        <v>120</v>
      </c>
      <c r="E335" s="101">
        <v>120</v>
      </c>
      <c r="F335" s="101">
        <f t="shared" ref="F335:H337" si="0">E335</f>
        <v>120</v>
      </c>
      <c r="G335" s="101">
        <f t="shared" si="0"/>
        <v>120</v>
      </c>
      <c r="H335" s="101">
        <f t="shared" si="0"/>
        <v>120</v>
      </c>
      <c r="I335" s="101"/>
      <c r="J335" s="101"/>
      <c r="K335" s="101"/>
    </row>
    <row r="336" spans="1:11" s="1" customFormat="1" x14ac:dyDescent="0.2">
      <c r="A336" s="1" t="s">
        <v>973</v>
      </c>
      <c r="C336" s="20"/>
      <c r="D336" s="20">
        <v>-70</v>
      </c>
      <c r="E336" s="20">
        <f>D336</f>
        <v>-70</v>
      </c>
      <c r="F336" s="20">
        <f t="shared" si="0"/>
        <v>-70</v>
      </c>
      <c r="G336" s="20">
        <f t="shared" si="0"/>
        <v>-70</v>
      </c>
      <c r="H336" s="20">
        <f t="shared" si="0"/>
        <v>-70</v>
      </c>
      <c r="I336" s="20"/>
      <c r="J336" s="20"/>
      <c r="K336" s="20"/>
    </row>
    <row r="337" spans="1:11" s="1" customFormat="1" x14ac:dyDescent="0.2">
      <c r="A337" s="1" t="s">
        <v>975</v>
      </c>
      <c r="C337" s="20"/>
      <c r="D337" s="102">
        <f>C341/5</f>
        <v>-20</v>
      </c>
      <c r="E337" s="102">
        <f>D337</f>
        <v>-20</v>
      </c>
      <c r="F337" s="102">
        <f t="shared" si="0"/>
        <v>-20</v>
      </c>
      <c r="G337" s="102">
        <f t="shared" si="0"/>
        <v>-20</v>
      </c>
      <c r="H337" s="102">
        <f t="shared" si="0"/>
        <v>-20</v>
      </c>
      <c r="I337" s="102"/>
      <c r="J337" s="102"/>
      <c r="K337" s="102"/>
    </row>
    <row r="338" spans="1:11" s="1" customFormat="1" x14ac:dyDescent="0.2">
      <c r="A338" s="1" t="s">
        <v>901</v>
      </c>
      <c r="C338" s="20"/>
      <c r="D338" s="104">
        <f>SUM(D335:D337)</f>
        <v>30</v>
      </c>
      <c r="E338" s="104">
        <f>SUM(E335:E337)</f>
        <v>30</v>
      </c>
      <c r="F338" s="104">
        <f>SUM(F335:F337)</f>
        <v>30</v>
      </c>
      <c r="G338" s="104">
        <f>SUM(G335:G337)</f>
        <v>30</v>
      </c>
      <c r="H338" s="104">
        <f>SUM(H335:H337)</f>
        <v>30</v>
      </c>
      <c r="I338" s="104"/>
      <c r="J338" s="104"/>
      <c r="K338" s="104"/>
    </row>
    <row r="339" spans="1:11" s="1" customFormat="1" x14ac:dyDescent="0.2">
      <c r="A339" s="1" t="s">
        <v>1580</v>
      </c>
      <c r="C339" s="20"/>
      <c r="D339" s="102">
        <f>-30%*D338</f>
        <v>-9</v>
      </c>
      <c r="E339" s="102">
        <f>-30%*E338</f>
        <v>-9</v>
      </c>
      <c r="F339" s="102">
        <f>-30%*F338</f>
        <v>-9</v>
      </c>
      <c r="G339" s="102">
        <f>-30%*G338</f>
        <v>-9</v>
      </c>
      <c r="H339" s="102">
        <f>-30%*H338</f>
        <v>-9</v>
      </c>
      <c r="I339" s="102"/>
      <c r="J339" s="102"/>
      <c r="K339" s="102"/>
    </row>
    <row r="340" spans="1:11" s="1" customFormat="1" x14ac:dyDescent="0.2">
      <c r="A340" s="1" t="s">
        <v>977</v>
      </c>
      <c r="C340" s="20"/>
      <c r="D340" s="104">
        <f>D338+D339</f>
        <v>21</v>
      </c>
      <c r="E340" s="104">
        <f>E338+E339</f>
        <v>21</v>
      </c>
      <c r="F340" s="104">
        <f>F338+F339</f>
        <v>21</v>
      </c>
      <c r="G340" s="104">
        <f>G338+G339</f>
        <v>21</v>
      </c>
      <c r="H340" s="104">
        <f t="shared" ref="H340" si="1">H338+H339</f>
        <v>21</v>
      </c>
      <c r="I340" s="104"/>
      <c r="J340" s="104"/>
      <c r="K340" s="104"/>
    </row>
    <row r="341" spans="1:11" s="1" customFormat="1" x14ac:dyDescent="0.2">
      <c r="A341" s="1" t="s">
        <v>903</v>
      </c>
      <c r="C341" s="107">
        <v>-100</v>
      </c>
      <c r="D341" s="20"/>
      <c r="E341" s="20"/>
      <c r="F341" s="20"/>
      <c r="G341" s="20"/>
      <c r="H341" s="20"/>
      <c r="I341" s="20"/>
      <c r="J341" s="20"/>
      <c r="K341" s="20"/>
    </row>
    <row r="342" spans="1:11" s="1" customFormat="1" x14ac:dyDescent="0.2">
      <c r="A342" s="1" t="s">
        <v>981</v>
      </c>
      <c r="C342" s="20"/>
      <c r="D342" s="20"/>
      <c r="E342" s="20"/>
      <c r="F342" s="20"/>
      <c r="G342" s="24"/>
      <c r="H342" s="180">
        <f>10*0.7</f>
        <v>7</v>
      </c>
      <c r="I342" s="24"/>
      <c r="J342" s="24"/>
      <c r="K342" s="24"/>
    </row>
    <row r="343" spans="1:11" s="1" customFormat="1" x14ac:dyDescent="0.2">
      <c r="A343" s="1" t="s">
        <v>904</v>
      </c>
      <c r="C343" s="20"/>
      <c r="D343" s="101">
        <f>-D337</f>
        <v>20</v>
      </c>
      <c r="E343" s="101">
        <f>-E337</f>
        <v>20</v>
      </c>
      <c r="F343" s="101">
        <f>-F337</f>
        <v>20</v>
      </c>
      <c r="G343" s="101">
        <f>-G337</f>
        <v>20</v>
      </c>
      <c r="H343" s="101">
        <f t="shared" ref="H343" si="2">-H337</f>
        <v>20</v>
      </c>
      <c r="I343" s="101"/>
      <c r="J343" s="101"/>
      <c r="K343" s="101"/>
    </row>
    <row r="344" spans="1:11" s="1" customFormat="1" x14ac:dyDescent="0.2">
      <c r="A344" s="18" t="s">
        <v>905</v>
      </c>
      <c r="B344" s="18"/>
      <c r="C344" s="106">
        <f>SUM(C340:C343)</f>
        <v>-100</v>
      </c>
      <c r="D344" s="106">
        <f>SUM(D340:D343)</f>
        <v>41</v>
      </c>
      <c r="E344" s="106">
        <f>SUM(E340:E343)</f>
        <v>41</v>
      </c>
      <c r="F344" s="106">
        <f>SUM(F340:F343)</f>
        <v>41</v>
      </c>
      <c r="G344" s="106">
        <f>SUM(G340:G343)</f>
        <v>41</v>
      </c>
      <c r="H344" s="106">
        <f t="shared" ref="H344" si="3">SUM(H340:H343)</f>
        <v>48</v>
      </c>
      <c r="I344" s="106"/>
      <c r="J344" s="106"/>
      <c r="K344" s="106"/>
    </row>
    <row r="345" spans="1:11" s="1" customFormat="1" x14ac:dyDescent="0.2"/>
    <row r="346" spans="1:11" s="1" customFormat="1" x14ac:dyDescent="0.2">
      <c r="A346" s="1" t="s">
        <v>1480</v>
      </c>
      <c r="C346" s="179">
        <f>NPV(8%,D344:K344)+C344</f>
        <v>68.465193899437793</v>
      </c>
    </row>
    <row r="347" spans="1:11" s="1" customFormat="1" x14ac:dyDescent="0.2">
      <c r="C347" s="1" t="s">
        <v>259</v>
      </c>
    </row>
    <row r="348" spans="1:11" s="1" customFormat="1" x14ac:dyDescent="0.2"/>
    <row r="349" spans="1:11" s="1" customFormat="1" x14ac:dyDescent="0.2">
      <c r="A349" s="1" t="s">
        <v>1581</v>
      </c>
    </row>
    <row r="350" spans="1:11" s="1" customFormat="1" x14ac:dyDescent="0.2">
      <c r="A350" s="1" t="s">
        <v>1582</v>
      </c>
    </row>
    <row r="351" spans="1:11" s="1" customFormat="1" x14ac:dyDescent="0.2">
      <c r="A351" s="1" t="s">
        <v>1583</v>
      </c>
    </row>
    <row r="352" spans="1:11" s="1" customFormat="1" x14ac:dyDescent="0.2">
      <c r="A352" s="1" t="s">
        <v>1584</v>
      </c>
    </row>
    <row r="353" spans="1:1" s="1" customFormat="1" x14ac:dyDescent="0.2">
      <c r="A353" s="1" t="s">
        <v>1585</v>
      </c>
    </row>
    <row r="354" spans="1:1" s="1" customFormat="1" x14ac:dyDescent="0.2"/>
    <row r="355" spans="1:1" s="1" customFormat="1" x14ac:dyDescent="0.2"/>
    <row r="356" spans="1:1" s="1" customFormat="1" x14ac:dyDescent="0.2"/>
    <row r="357" spans="1:1" s="1" customFormat="1" x14ac:dyDescent="0.2"/>
    <row r="358" spans="1:1" s="1" customFormat="1" x14ac:dyDescent="0.2"/>
    <row r="359" spans="1:1" s="1" customFormat="1" x14ac:dyDescent="0.2"/>
    <row r="360" spans="1:1" s="1" customFormat="1" x14ac:dyDescent="0.2"/>
    <row r="361" spans="1:1" s="1" customFormat="1" x14ac:dyDescent="0.2"/>
    <row r="362" spans="1:1" s="1" customFormat="1" x14ac:dyDescent="0.2"/>
    <row r="363" spans="1:1" s="1" customFormat="1" x14ac:dyDescent="0.2"/>
    <row r="364" spans="1:1" s="1" customFormat="1" x14ac:dyDescent="0.2"/>
    <row r="365" spans="1:1" s="1" customFormat="1" x14ac:dyDescent="0.2"/>
    <row r="366" spans="1:1" s="1" customFormat="1" x14ac:dyDescent="0.2"/>
    <row r="367" spans="1:1" s="1" customFormat="1" x14ac:dyDescent="0.2"/>
    <row r="368" spans="1:1" s="1" customFormat="1" x14ac:dyDescent="0.2"/>
    <row r="369" spans="1:8" s="1" customFormat="1" x14ac:dyDescent="0.2"/>
    <row r="370" spans="1:8" s="1" customFormat="1" x14ac:dyDescent="0.2"/>
    <row r="371" spans="1:8" s="1" customFormat="1" x14ac:dyDescent="0.2"/>
    <row r="372" spans="1:8" s="1" customFormat="1" x14ac:dyDescent="0.2"/>
    <row r="373" spans="1:8" s="1" customFormat="1" x14ac:dyDescent="0.2"/>
    <row r="374" spans="1:8" s="1" customFormat="1" x14ac:dyDescent="0.2"/>
    <row r="375" spans="1:8" s="1" customFormat="1" x14ac:dyDescent="0.2">
      <c r="A375" s="139" t="s">
        <v>1485</v>
      </c>
      <c r="B375" s="139"/>
      <c r="C375" s="139"/>
      <c r="D375" s="139"/>
      <c r="E375" s="139"/>
      <c r="F375" s="139"/>
      <c r="G375" s="139"/>
      <c r="H375" s="139"/>
    </row>
    <row r="376" spans="1:8" s="1" customFormat="1" x14ac:dyDescent="0.2"/>
    <row r="377" spans="1:8" s="1" customFormat="1" x14ac:dyDescent="0.2">
      <c r="A377" s="1" t="s">
        <v>1534</v>
      </c>
    </row>
    <row r="378" spans="1:8" s="1" customFormat="1" x14ac:dyDescent="0.2">
      <c r="A378" s="1" t="s">
        <v>1535</v>
      </c>
    </row>
    <row r="379" spans="1:8" s="1" customFormat="1" x14ac:dyDescent="0.2"/>
    <row r="380" spans="1:8" s="1" customFormat="1" x14ac:dyDescent="0.2">
      <c r="A380" s="1" t="s">
        <v>1536</v>
      </c>
    </row>
    <row r="381" spans="1:8" s="1" customFormat="1" x14ac:dyDescent="0.2"/>
    <row r="382" spans="1:8" s="1" customFormat="1" x14ac:dyDescent="0.2">
      <c r="A382" s="1" t="s">
        <v>1537</v>
      </c>
    </row>
    <row r="383" spans="1:8" s="1" customFormat="1" x14ac:dyDescent="0.2">
      <c r="A383" s="1" t="s">
        <v>1538</v>
      </c>
    </row>
    <row r="384" spans="1:8" s="1" customFormat="1" x14ac:dyDescent="0.2">
      <c r="A384" s="1" t="s">
        <v>1539</v>
      </c>
    </row>
    <row r="385" spans="1:5" s="1" customFormat="1" x14ac:dyDescent="0.2">
      <c r="A385" s="1" t="s">
        <v>1540</v>
      </c>
    </row>
    <row r="386" spans="1:5" s="1" customFormat="1" x14ac:dyDescent="0.2"/>
    <row r="387" spans="1:5" s="1" customFormat="1" x14ac:dyDescent="0.2"/>
    <row r="388" spans="1:5" s="1" customFormat="1" x14ac:dyDescent="0.2">
      <c r="C388" s="1" t="s">
        <v>1542</v>
      </c>
      <c r="D388" s="1" t="s">
        <v>1541</v>
      </c>
      <c r="E388" s="1" t="s">
        <v>60</v>
      </c>
    </row>
    <row r="389" spans="1:5" s="1" customFormat="1" x14ac:dyDescent="0.2">
      <c r="C389" s="1" t="s">
        <v>75</v>
      </c>
      <c r="D389" s="1" t="s">
        <v>75</v>
      </c>
      <c r="E389" s="1" t="s">
        <v>111</v>
      </c>
    </row>
    <row r="390" spans="1:5" s="1" customFormat="1" x14ac:dyDescent="0.2">
      <c r="C390" s="1">
        <v>5</v>
      </c>
      <c r="D390" s="1">
        <v>999</v>
      </c>
      <c r="E390" s="1" t="s">
        <v>62</v>
      </c>
    </row>
    <row r="391" spans="1:5" s="1" customFormat="1" x14ac:dyDescent="0.2">
      <c r="C391" s="1">
        <v>10</v>
      </c>
      <c r="D391" s="1">
        <v>10</v>
      </c>
      <c r="E391" s="1" t="s">
        <v>63</v>
      </c>
    </row>
    <row r="392" spans="1:5" s="1" customFormat="1" x14ac:dyDescent="0.2">
      <c r="C392" s="25">
        <f>PV(C391/100,C390,C393,C394)</f>
        <v>-175815.73538816901</v>
      </c>
      <c r="D392" s="25">
        <f>PV(D391/100,D390,D393,D394)</f>
        <v>-100000</v>
      </c>
      <c r="E392" s="1" t="s">
        <v>64</v>
      </c>
    </row>
    <row r="393" spans="1:5" s="1" customFormat="1" x14ac:dyDescent="0.2">
      <c r="C393" s="1">
        <v>30000</v>
      </c>
      <c r="D393" s="1">
        <v>10000</v>
      </c>
      <c r="E393" s="1" t="s">
        <v>65</v>
      </c>
    </row>
    <row r="394" spans="1:5" s="1" customFormat="1" x14ac:dyDescent="0.2">
      <c r="C394" s="25">
        <f>-D392</f>
        <v>100000</v>
      </c>
      <c r="D394" s="1">
        <v>0</v>
      </c>
      <c r="E394" s="1" t="s">
        <v>66</v>
      </c>
    </row>
    <row r="395" spans="1:5" s="1" customFormat="1" x14ac:dyDescent="0.2"/>
    <row r="396" spans="1:5" s="1" customFormat="1" x14ac:dyDescent="0.2">
      <c r="A396" s="1" t="s">
        <v>1543</v>
      </c>
    </row>
    <row r="397" spans="1:5" s="1" customFormat="1" x14ac:dyDescent="0.2">
      <c r="C397" s="25">
        <f>-C392</f>
        <v>175815.73538816901</v>
      </c>
    </row>
    <row r="398" spans="1:5" s="1" customFormat="1" x14ac:dyDescent="0.2">
      <c r="A398" s="1" t="s">
        <v>1544</v>
      </c>
      <c r="C398" s="1">
        <v>-150000</v>
      </c>
    </row>
    <row r="399" spans="1:5" s="1" customFormat="1" x14ac:dyDescent="0.2">
      <c r="A399" s="1" t="s">
        <v>1545</v>
      </c>
      <c r="C399" s="177">
        <f>C397+C398</f>
        <v>25815.735388169007</v>
      </c>
      <c r="D399" s="1" t="s">
        <v>1546</v>
      </c>
    </row>
    <row r="400" spans="1:5" s="1" customFormat="1" x14ac:dyDescent="0.2"/>
    <row r="401" spans="1:8" s="1" customFormat="1" x14ac:dyDescent="0.2"/>
    <row r="402" spans="1:8" s="1" customFormat="1" x14ac:dyDescent="0.2"/>
    <row r="403" spans="1:8" s="1" customFormat="1" x14ac:dyDescent="0.2"/>
    <row r="404" spans="1:8" s="1" customFormat="1" x14ac:dyDescent="0.2"/>
    <row r="405" spans="1:8" s="1" customFormat="1" x14ac:dyDescent="0.2"/>
    <row r="406" spans="1:8" s="1" customFormat="1" x14ac:dyDescent="0.2"/>
    <row r="407" spans="1:8" s="1" customFormat="1" x14ac:dyDescent="0.2"/>
    <row r="408" spans="1:8" s="1" customFormat="1" x14ac:dyDescent="0.2"/>
    <row r="409" spans="1:8" s="1" customFormat="1" x14ac:dyDescent="0.2">
      <c r="A409" s="139" t="s">
        <v>1226</v>
      </c>
      <c r="B409" s="139"/>
      <c r="C409" s="139"/>
      <c r="D409" s="139"/>
      <c r="E409" s="139"/>
      <c r="F409" s="139"/>
      <c r="G409" s="139"/>
      <c r="H409" s="139"/>
    </row>
    <row r="410" spans="1:8" s="1" customFormat="1" x14ac:dyDescent="0.2"/>
    <row r="411" spans="1:8" s="1" customFormat="1" x14ac:dyDescent="0.2"/>
    <row r="412" spans="1:8" s="1" customFormat="1" x14ac:dyDescent="0.2"/>
    <row r="413" spans="1:8" s="1" customFormat="1" x14ac:dyDescent="0.2"/>
    <row r="414" spans="1:8" s="1" customFormat="1" x14ac:dyDescent="0.2"/>
    <row r="415" spans="1:8" s="1" customFormat="1" x14ac:dyDescent="0.2">
      <c r="C415" s="20">
        <v>3</v>
      </c>
      <c r="E415" s="20">
        <v>1</v>
      </c>
      <c r="F415" s="20">
        <v>0</v>
      </c>
    </row>
    <row r="416" spans="1:8" s="1" customFormat="1" x14ac:dyDescent="0.2">
      <c r="C416" s="20"/>
      <c r="E416" s="20"/>
    </row>
    <row r="417" spans="1:6" s="1" customFormat="1" x14ac:dyDescent="0.2">
      <c r="C417" s="24">
        <v>51840</v>
      </c>
      <c r="E417" s="24">
        <v>36000</v>
      </c>
    </row>
    <row r="418" spans="1:6" s="1" customFormat="1" x14ac:dyDescent="0.2"/>
    <row r="419" spans="1:6" s="1" customFormat="1" x14ac:dyDescent="0.2"/>
    <row r="420" spans="1:6" s="1" customFormat="1" x14ac:dyDescent="0.2"/>
    <row r="421" spans="1:6" s="1" customFormat="1" x14ac:dyDescent="0.2"/>
    <row r="422" spans="1:6" s="1" customFormat="1" x14ac:dyDescent="0.2">
      <c r="A422" s="1" t="s">
        <v>1227</v>
      </c>
      <c r="C422" s="20" t="s">
        <v>1228</v>
      </c>
      <c r="D422" s="20" t="s">
        <v>1142</v>
      </c>
      <c r="E422" s="20" t="s">
        <v>60</v>
      </c>
    </row>
    <row r="423" spans="1:6" s="1" customFormat="1" x14ac:dyDescent="0.2">
      <c r="A423" s="1" t="s">
        <v>1229</v>
      </c>
      <c r="C423" s="20" t="s">
        <v>75</v>
      </c>
      <c r="D423" s="20" t="s">
        <v>75</v>
      </c>
      <c r="E423" s="20" t="s">
        <v>111</v>
      </c>
    </row>
    <row r="424" spans="1:6" s="1" customFormat="1" x14ac:dyDescent="0.2">
      <c r="A424" s="1" t="s">
        <v>1230</v>
      </c>
      <c r="C424" s="20">
        <v>1</v>
      </c>
      <c r="D424" s="20">
        <v>2</v>
      </c>
      <c r="E424" s="20" t="s">
        <v>62</v>
      </c>
      <c r="F424" s="1" t="s">
        <v>1231</v>
      </c>
    </row>
    <row r="425" spans="1:6" s="1" customFormat="1" x14ac:dyDescent="0.2">
      <c r="A425" s="1" t="s">
        <v>1232</v>
      </c>
      <c r="C425" s="51">
        <f>D425</f>
        <v>0.20000000000000007</v>
      </c>
      <c r="D425" s="147">
        <f>RATE(D424,D427,D426,D428)</f>
        <v>0.20000000000000007</v>
      </c>
      <c r="E425" s="20" t="s">
        <v>63</v>
      </c>
    </row>
    <row r="426" spans="1:6" s="1" customFormat="1" x14ac:dyDescent="0.2">
      <c r="A426" s="1" t="s">
        <v>1233</v>
      </c>
      <c r="C426" s="142">
        <f>PV(C425,C424,C427,C428)</f>
        <v>-29999.999999999996</v>
      </c>
      <c r="D426" s="20">
        <v>-36000</v>
      </c>
      <c r="E426" s="20" t="s">
        <v>64</v>
      </c>
    </row>
    <row r="427" spans="1:6" s="1" customFormat="1" x14ac:dyDescent="0.2">
      <c r="A427" s="1" t="s">
        <v>1234</v>
      </c>
      <c r="C427" s="20">
        <v>0</v>
      </c>
      <c r="D427" s="20">
        <v>0</v>
      </c>
      <c r="E427" s="20" t="s">
        <v>65</v>
      </c>
    </row>
    <row r="428" spans="1:6" s="1" customFormat="1" x14ac:dyDescent="0.2">
      <c r="A428" s="1" t="s">
        <v>1235</v>
      </c>
      <c r="C428" s="24">
        <f>E417</f>
        <v>36000</v>
      </c>
      <c r="D428" s="24">
        <f>C417</f>
        <v>51840</v>
      </c>
      <c r="E428" s="20" t="s">
        <v>66</v>
      </c>
    </row>
    <row r="429" spans="1:6" s="1" customFormat="1" x14ac:dyDescent="0.2"/>
    <row r="430" spans="1:6" s="1" customFormat="1" x14ac:dyDescent="0.2">
      <c r="C430" s="20" t="s">
        <v>1228</v>
      </c>
      <c r="D430" s="20" t="s">
        <v>1142</v>
      </c>
      <c r="E430" s="20" t="s">
        <v>60</v>
      </c>
    </row>
    <row r="431" spans="1:6" s="1" customFormat="1" x14ac:dyDescent="0.2">
      <c r="A431" s="1" t="s">
        <v>1236</v>
      </c>
      <c r="C431" s="20" t="s">
        <v>75</v>
      </c>
      <c r="D431" s="20" t="s">
        <v>75</v>
      </c>
      <c r="E431" s="20" t="s">
        <v>111</v>
      </c>
    </row>
    <row r="432" spans="1:6" s="1" customFormat="1" x14ac:dyDescent="0.2">
      <c r="A432" s="1" t="s">
        <v>1237</v>
      </c>
      <c r="C432" s="20">
        <v>4</v>
      </c>
      <c r="D432" s="20">
        <v>8</v>
      </c>
      <c r="E432" s="20" t="s">
        <v>62</v>
      </c>
    </row>
    <row r="433" spans="1:8" s="1" customFormat="1" x14ac:dyDescent="0.2">
      <c r="A433" s="1" t="s">
        <v>1238</v>
      </c>
      <c r="C433" s="148">
        <f>D433</f>
        <v>4.6635139392105542E-2</v>
      </c>
      <c r="D433" s="149">
        <f>RATE(D432,D435,D434,D436)</f>
        <v>4.6635139392105542E-2</v>
      </c>
      <c r="E433" s="20" t="s">
        <v>63</v>
      </c>
    </row>
    <row r="434" spans="1:8" s="1" customFormat="1" x14ac:dyDescent="0.2">
      <c r="C434" s="142">
        <f>PV(C433,C432,C435,C436)</f>
        <v>-29999.999999999989</v>
      </c>
      <c r="D434" s="20">
        <v>-36000</v>
      </c>
      <c r="E434" s="20" t="s">
        <v>64</v>
      </c>
    </row>
    <row r="435" spans="1:8" s="1" customFormat="1" x14ac:dyDescent="0.2">
      <c r="C435" s="20">
        <v>0</v>
      </c>
      <c r="D435" s="20">
        <v>0</v>
      </c>
      <c r="E435" s="20" t="s">
        <v>65</v>
      </c>
    </row>
    <row r="436" spans="1:8" s="1" customFormat="1" x14ac:dyDescent="0.2">
      <c r="C436" s="24">
        <f>C428</f>
        <v>36000</v>
      </c>
      <c r="D436" s="24">
        <f>D428</f>
        <v>51840</v>
      </c>
      <c r="E436" s="20" t="s">
        <v>66</v>
      </c>
    </row>
    <row r="437" spans="1:8" s="1" customFormat="1" x14ac:dyDescent="0.2"/>
    <row r="438" spans="1:8" s="1" customFormat="1" x14ac:dyDescent="0.2">
      <c r="A438" s="1" t="s">
        <v>1239</v>
      </c>
    </row>
    <row r="439" spans="1:8" s="1" customFormat="1" x14ac:dyDescent="0.2"/>
    <row r="440" spans="1:8" s="1" customFormat="1" x14ac:dyDescent="0.2">
      <c r="A440" s="139" t="s">
        <v>1240</v>
      </c>
      <c r="B440" s="139"/>
      <c r="C440" s="139"/>
      <c r="D440" s="139"/>
      <c r="E440" s="139"/>
      <c r="F440" s="139"/>
      <c r="G440" s="139"/>
      <c r="H440" s="139"/>
    </row>
    <row r="441" spans="1:8" s="1" customFormat="1" x14ac:dyDescent="0.2">
      <c r="A441" s="1" t="s">
        <v>1241</v>
      </c>
    </row>
    <row r="442" spans="1:8" s="1" customFormat="1" x14ac:dyDescent="0.2">
      <c r="A442" s="1" t="s">
        <v>1242</v>
      </c>
    </row>
    <row r="443" spans="1:8" s="1" customFormat="1" x14ac:dyDescent="0.2">
      <c r="A443" s="1" t="s">
        <v>1243</v>
      </c>
    </row>
    <row r="444" spans="1:8" s="1" customFormat="1" x14ac:dyDescent="0.2"/>
    <row r="445" spans="1:8" s="1" customFormat="1" x14ac:dyDescent="0.2">
      <c r="E445" s="27" t="s">
        <v>231</v>
      </c>
      <c r="F445" s="27" t="s">
        <v>60</v>
      </c>
    </row>
    <row r="446" spans="1:8" s="1" customFormat="1" x14ac:dyDescent="0.2">
      <c r="E446" s="20" t="s">
        <v>75</v>
      </c>
      <c r="F446" s="20" t="s">
        <v>111</v>
      </c>
    </row>
    <row r="447" spans="1:8" s="1" customFormat="1" x14ac:dyDescent="0.2">
      <c r="E447" s="20">
        <v>2</v>
      </c>
      <c r="F447" s="20" t="s">
        <v>62</v>
      </c>
    </row>
    <row r="448" spans="1:8" s="1" customFormat="1" x14ac:dyDescent="0.2">
      <c r="E448" s="20">
        <v>6</v>
      </c>
      <c r="F448" s="20" t="s">
        <v>63</v>
      </c>
    </row>
    <row r="449" spans="1:8" s="1" customFormat="1" x14ac:dyDescent="0.2">
      <c r="E449" s="150">
        <v>-50000</v>
      </c>
      <c r="F449" s="20" t="s">
        <v>64</v>
      </c>
    </row>
    <row r="450" spans="1:8" s="1" customFormat="1" x14ac:dyDescent="0.2">
      <c r="E450" s="20">
        <v>0</v>
      </c>
      <c r="F450" s="20" t="s">
        <v>65</v>
      </c>
    </row>
    <row r="451" spans="1:8" s="1" customFormat="1" x14ac:dyDescent="0.2">
      <c r="A451" s="1" t="s">
        <v>1244</v>
      </c>
      <c r="E451" s="57">
        <f>FV(E448/100,E447,E450,E449)</f>
        <v>56180.000000000007</v>
      </c>
      <c r="F451" s="20" t="s">
        <v>66</v>
      </c>
    </row>
    <row r="452" spans="1:8" s="1" customFormat="1" x14ac:dyDescent="0.2"/>
    <row r="453" spans="1:8" s="1" customFormat="1" x14ac:dyDescent="0.2">
      <c r="A453" s="1" t="s">
        <v>1245</v>
      </c>
    </row>
    <row r="454" spans="1:8" s="1" customFormat="1" x14ac:dyDescent="0.2"/>
    <row r="455" spans="1:8" s="1" customFormat="1" x14ac:dyDescent="0.2"/>
    <row r="456" spans="1:8" s="1" customFormat="1" x14ac:dyDescent="0.2">
      <c r="A456" s="1" t="s">
        <v>1246</v>
      </c>
    </row>
    <row r="457" spans="1:8" s="1" customFormat="1" x14ac:dyDescent="0.2"/>
    <row r="458" spans="1:8" s="1" customFormat="1" x14ac:dyDescent="0.2">
      <c r="A458" s="139" t="s">
        <v>1247</v>
      </c>
      <c r="B458" s="139"/>
      <c r="C458" s="139"/>
      <c r="D458" s="139"/>
      <c r="E458" s="139"/>
      <c r="F458" s="139"/>
      <c r="G458" s="139"/>
      <c r="H458" s="139"/>
    </row>
    <row r="459" spans="1:8" s="1" customFormat="1" x14ac:dyDescent="0.2">
      <c r="A459" s="1" t="s">
        <v>1248</v>
      </c>
    </row>
    <row r="460" spans="1:8" s="1" customFormat="1" x14ac:dyDescent="0.2"/>
    <row r="461" spans="1:8" s="1" customFormat="1" x14ac:dyDescent="0.2"/>
    <row r="462" spans="1:8" s="1" customFormat="1" x14ac:dyDescent="0.2"/>
    <row r="463" spans="1:8" s="1" customFormat="1" x14ac:dyDescent="0.2"/>
    <row r="464" spans="1:8" s="1" customFormat="1" x14ac:dyDescent="0.2"/>
    <row r="465" s="1" customFormat="1" x14ac:dyDescent="0.2"/>
  </sheetData>
  <mergeCells count="1">
    <mergeCell ref="A1:H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D406A3-9504-124E-B470-0A4DFE869623}">
  <dimension ref="A1:L108"/>
  <sheetViews>
    <sheetView rightToLeft="1" zoomScale="295" zoomScaleNormal="350" workbookViewId="0">
      <selection activeCell="D14" sqref="D14"/>
    </sheetView>
  </sheetViews>
  <sheetFormatPr baseColWidth="10" defaultRowHeight="16" x14ac:dyDescent="0.2"/>
  <cols>
    <col min="1" max="16384" width="10.83203125" style="1"/>
  </cols>
  <sheetData>
    <row r="1" spans="1:12" x14ac:dyDescent="0.2">
      <c r="A1" s="6" t="s">
        <v>2720</v>
      </c>
      <c r="B1" s="6"/>
      <c r="C1" s="6"/>
      <c r="D1" s="6"/>
      <c r="E1" s="6"/>
      <c r="F1" s="6"/>
      <c r="G1" s="6"/>
      <c r="H1" s="6"/>
    </row>
    <row r="4" spans="1:12" ht="17" thickBot="1" x14ac:dyDescent="0.25">
      <c r="A4" s="184"/>
      <c r="B4" s="10"/>
      <c r="C4" s="117" t="s">
        <v>1606</v>
      </c>
      <c r="D4" s="117" t="s">
        <v>1607</v>
      </c>
      <c r="E4" s="117" t="s">
        <v>1608</v>
      </c>
      <c r="F4" s="117" t="s">
        <v>1609</v>
      </c>
      <c r="G4" s="27" t="s">
        <v>1631</v>
      </c>
      <c r="H4" s="27" t="s">
        <v>1632</v>
      </c>
    </row>
    <row r="5" spans="1:12" x14ac:dyDescent="0.2">
      <c r="A5" s="182" t="s">
        <v>19</v>
      </c>
      <c r="C5" s="183" t="s">
        <v>1610</v>
      </c>
      <c r="D5" s="183">
        <v>14</v>
      </c>
      <c r="E5" s="183">
        <v>3</v>
      </c>
      <c r="F5" s="183" t="s">
        <v>1611</v>
      </c>
      <c r="G5" s="87">
        <f>(3+1+1+3)/4</f>
        <v>2</v>
      </c>
      <c r="H5" s="185">
        <f>G5/$G$12</f>
        <v>0.13043478260869565</v>
      </c>
      <c r="J5" s="405">
        <v>0.33</v>
      </c>
      <c r="K5" s="336"/>
      <c r="L5" s="339"/>
    </row>
    <row r="6" spans="1:12" x14ac:dyDescent="0.2">
      <c r="A6" s="182" t="s">
        <v>231</v>
      </c>
      <c r="C6" s="183">
        <v>10</v>
      </c>
      <c r="D6" s="183"/>
      <c r="E6" s="183">
        <v>1</v>
      </c>
      <c r="F6" s="183" t="s">
        <v>1612</v>
      </c>
      <c r="G6" s="87">
        <f>(1+1+2)/3</f>
        <v>1.3333333333333333</v>
      </c>
      <c r="H6" s="404">
        <f t="shared" ref="H6:H11" si="0">G6/$G$12</f>
        <v>8.6956521739130432E-2</v>
      </c>
      <c r="J6" s="213" t="s">
        <v>2994</v>
      </c>
      <c r="K6" s="18"/>
      <c r="L6" s="340"/>
    </row>
    <row r="7" spans="1:12" x14ac:dyDescent="0.2">
      <c r="A7" s="182" t="s">
        <v>1613</v>
      </c>
      <c r="C7" s="183">
        <v>3</v>
      </c>
      <c r="D7" s="183" t="s">
        <v>1614</v>
      </c>
      <c r="E7" s="183" t="s">
        <v>1615</v>
      </c>
      <c r="F7" s="183" t="s">
        <v>1616</v>
      </c>
      <c r="G7" s="87">
        <f>(1+2+4+3)/4</f>
        <v>2.5</v>
      </c>
      <c r="H7" s="185">
        <f t="shared" si="0"/>
        <v>0.16304347826086957</v>
      </c>
      <c r="J7" s="213" t="s">
        <v>2995</v>
      </c>
      <c r="K7" s="18"/>
      <c r="L7" s="340"/>
    </row>
    <row r="8" spans="1:12" x14ac:dyDescent="0.2">
      <c r="A8" s="116" t="s">
        <v>628</v>
      </c>
      <c r="C8" s="48">
        <v>6</v>
      </c>
      <c r="D8" s="48" t="s">
        <v>1617</v>
      </c>
      <c r="E8" s="48" t="s">
        <v>1618</v>
      </c>
      <c r="F8" s="48">
        <v>7</v>
      </c>
      <c r="G8" s="87">
        <f>(1+2+2+1)/4</f>
        <v>1.5</v>
      </c>
      <c r="H8" s="185">
        <f t="shared" si="0"/>
        <v>9.7826086956521743E-2</v>
      </c>
      <c r="J8" s="213" t="s">
        <v>2996</v>
      </c>
      <c r="K8" s="18"/>
      <c r="L8" s="340"/>
    </row>
    <row r="9" spans="1:12" x14ac:dyDescent="0.2">
      <c r="A9" s="116" t="s">
        <v>1619</v>
      </c>
      <c r="C9" s="48">
        <v>8</v>
      </c>
      <c r="D9" s="48">
        <v>13</v>
      </c>
      <c r="E9" s="48" t="s">
        <v>1620</v>
      </c>
      <c r="F9" s="48" t="s">
        <v>1621</v>
      </c>
      <c r="G9" s="87">
        <f>(1+1+3+3)/4</f>
        <v>2</v>
      </c>
      <c r="H9" s="185">
        <f t="shared" si="0"/>
        <v>0.13043478260869565</v>
      </c>
      <c r="J9" s="213" t="s">
        <v>2998</v>
      </c>
      <c r="K9" s="18"/>
      <c r="L9" s="340"/>
    </row>
    <row r="10" spans="1:12" ht="17" thickBot="1" x14ac:dyDescent="0.25">
      <c r="A10" s="116" t="s">
        <v>1622</v>
      </c>
      <c r="C10" s="48" t="s">
        <v>1623</v>
      </c>
      <c r="D10" s="48" t="s">
        <v>1624</v>
      </c>
      <c r="E10" s="48" t="s">
        <v>1625</v>
      </c>
      <c r="F10" s="48">
        <v>10</v>
      </c>
      <c r="G10" s="87">
        <f>(4+6+2+1)/4</f>
        <v>3.25</v>
      </c>
      <c r="H10" s="185">
        <f t="shared" si="0"/>
        <v>0.21195652173913046</v>
      </c>
      <c r="J10" s="133" t="s">
        <v>2997</v>
      </c>
      <c r="K10" s="334"/>
      <c r="L10" s="341"/>
    </row>
    <row r="11" spans="1:12" x14ac:dyDescent="0.2">
      <c r="A11" s="116" t="s">
        <v>1626</v>
      </c>
      <c r="C11" s="48" t="s">
        <v>1630</v>
      </c>
      <c r="D11" s="183" t="s">
        <v>1627</v>
      </c>
      <c r="E11" s="183" t="s">
        <v>1628</v>
      </c>
      <c r="F11" s="183" t="s">
        <v>1629</v>
      </c>
      <c r="G11" s="87">
        <f>(4+3+2+2)/4</f>
        <v>2.75</v>
      </c>
      <c r="H11" s="185">
        <f t="shared" si="0"/>
        <v>0.17934782608695654</v>
      </c>
    </row>
    <row r="12" spans="1:12" x14ac:dyDescent="0.2">
      <c r="G12" s="87">
        <f>SUM(G5:G11)</f>
        <v>15.333333333333332</v>
      </c>
    </row>
    <row r="15" spans="1:12" x14ac:dyDescent="0.2">
      <c r="A15" s="6" t="s">
        <v>1586</v>
      </c>
      <c r="B15" s="6"/>
      <c r="C15" s="6"/>
      <c r="D15" s="6"/>
      <c r="E15" s="6"/>
      <c r="F15" s="6"/>
      <c r="G15" s="6"/>
      <c r="H15" s="6"/>
    </row>
    <row r="17" spans="1:8" x14ac:dyDescent="0.2">
      <c r="A17" s="2" t="s">
        <v>1593</v>
      </c>
      <c r="B17" s="71"/>
      <c r="C17" s="71"/>
      <c r="D17" s="71"/>
      <c r="E17" s="71"/>
      <c r="F17" s="71"/>
      <c r="G17" s="71"/>
      <c r="H17" s="71"/>
    </row>
    <row r="19" spans="1:8" x14ac:dyDescent="0.2">
      <c r="A19" s="1" t="s">
        <v>1594</v>
      </c>
    </row>
    <row r="20" spans="1:8" x14ac:dyDescent="0.2">
      <c r="A20" s="1" t="s">
        <v>1595</v>
      </c>
    </row>
    <row r="21" spans="1:8" x14ac:dyDescent="0.2">
      <c r="A21" s="1" t="s">
        <v>1596</v>
      </c>
    </row>
    <row r="23" spans="1:8" x14ac:dyDescent="0.2">
      <c r="A23" s="1" t="s">
        <v>146</v>
      </c>
    </row>
    <row r="25" spans="1:8" x14ac:dyDescent="0.2">
      <c r="A25" s="1" t="s">
        <v>1597</v>
      </c>
    </row>
    <row r="26" spans="1:8" x14ac:dyDescent="0.2">
      <c r="A26" s="1" t="s">
        <v>1598</v>
      </c>
    </row>
    <row r="27" spans="1:8" x14ac:dyDescent="0.2">
      <c r="A27" s="1" t="s">
        <v>1599</v>
      </c>
    </row>
    <row r="28" spans="1:8" x14ac:dyDescent="0.2">
      <c r="A28" s="1" t="s">
        <v>1600</v>
      </c>
    </row>
    <row r="29" spans="1:8" x14ac:dyDescent="0.2">
      <c r="D29" s="1" t="s">
        <v>1602</v>
      </c>
      <c r="E29" s="1" t="s">
        <v>1601</v>
      </c>
    </row>
    <row r="30" spans="1:8" x14ac:dyDescent="0.2">
      <c r="D30" s="1" t="s">
        <v>75</v>
      </c>
      <c r="E30" s="1" t="s">
        <v>75</v>
      </c>
      <c r="F30" s="1" t="s">
        <v>111</v>
      </c>
    </row>
    <row r="31" spans="1:8" x14ac:dyDescent="0.2">
      <c r="D31" s="1">
        <v>3</v>
      </c>
      <c r="E31" s="1">
        <v>10</v>
      </c>
      <c r="F31" s="1" t="s">
        <v>62</v>
      </c>
    </row>
    <row r="32" spans="1:8" x14ac:dyDescent="0.2">
      <c r="D32" s="1">
        <v>5</v>
      </c>
      <c r="E32" s="1">
        <v>5</v>
      </c>
      <c r="F32" s="1" t="s">
        <v>63</v>
      </c>
    </row>
    <row r="33" spans="1:6" x14ac:dyDescent="0.2">
      <c r="D33" s="25">
        <f>PV(D32/100,D31,D34,D35)</f>
        <v>-10727.637978638832</v>
      </c>
      <c r="E33" s="25">
        <f>PV(E32/100,E31,E34,E35)</f>
        <v>-9266.0819150217758</v>
      </c>
      <c r="F33" s="1" t="s">
        <v>64</v>
      </c>
    </row>
    <row r="34" spans="1:6" x14ac:dyDescent="0.2">
      <c r="D34" s="1">
        <v>1000</v>
      </c>
      <c r="E34" s="1">
        <v>1200</v>
      </c>
      <c r="F34" s="1" t="s">
        <v>65</v>
      </c>
    </row>
    <row r="35" spans="1:6" x14ac:dyDescent="0.2">
      <c r="D35" s="25">
        <f>-E33</f>
        <v>9266.0819150217758</v>
      </c>
      <c r="E35" s="1">
        <v>0</v>
      </c>
      <c r="F35" s="1" t="s">
        <v>66</v>
      </c>
    </row>
    <row r="37" spans="1:6" x14ac:dyDescent="0.2">
      <c r="A37" s="1" t="s">
        <v>1603</v>
      </c>
    </row>
    <row r="39" spans="1:6" x14ac:dyDescent="0.2">
      <c r="A39" s="1" t="s">
        <v>1604</v>
      </c>
    </row>
    <row r="40" spans="1:6" x14ac:dyDescent="0.2">
      <c r="E40" s="1" t="s">
        <v>1601</v>
      </c>
    </row>
    <row r="41" spans="1:6" x14ac:dyDescent="0.2">
      <c r="E41" s="1" t="s">
        <v>75</v>
      </c>
      <c r="F41" s="1" t="s">
        <v>111</v>
      </c>
    </row>
    <row r="42" spans="1:6" x14ac:dyDescent="0.2">
      <c r="E42" s="1">
        <v>5</v>
      </c>
      <c r="F42" s="1" t="s">
        <v>62</v>
      </c>
    </row>
    <row r="43" spans="1:6" x14ac:dyDescent="0.2">
      <c r="E43" s="1">
        <v>5</v>
      </c>
      <c r="F43" s="1" t="s">
        <v>63</v>
      </c>
    </row>
    <row r="44" spans="1:6" x14ac:dyDescent="0.2">
      <c r="A44" s="1" t="s">
        <v>1605</v>
      </c>
      <c r="E44" s="25">
        <f>PV(E43/100,E42,E45,E46)</f>
        <v>-11752.892497026884</v>
      </c>
      <c r="F44" s="1" t="s">
        <v>64</v>
      </c>
    </row>
    <row r="45" spans="1:6" x14ac:dyDescent="0.2">
      <c r="E45" s="1">
        <v>0</v>
      </c>
      <c r="F45" s="1" t="s">
        <v>65</v>
      </c>
    </row>
    <row r="46" spans="1:6" x14ac:dyDescent="0.2">
      <c r="E46" s="1">
        <v>15000</v>
      </c>
      <c r="F46" s="1" t="s">
        <v>66</v>
      </c>
    </row>
    <row r="50" spans="1:8" x14ac:dyDescent="0.2">
      <c r="A50" s="2" t="s">
        <v>1592</v>
      </c>
      <c r="B50" s="71"/>
      <c r="C50" s="71"/>
      <c r="D50" s="71"/>
      <c r="E50" s="71"/>
      <c r="F50" s="71"/>
      <c r="G50" s="71"/>
      <c r="H50" s="71"/>
    </row>
    <row r="52" spans="1:8" x14ac:dyDescent="0.2">
      <c r="A52" s="1" t="s">
        <v>1589</v>
      </c>
      <c r="B52" s="1" t="s">
        <v>1588</v>
      </c>
      <c r="C52" s="1" t="s">
        <v>1587</v>
      </c>
      <c r="D52" s="1" t="s">
        <v>60</v>
      </c>
    </row>
    <row r="53" spans="1:8" x14ac:dyDescent="0.2">
      <c r="A53" s="1" t="s">
        <v>75</v>
      </c>
      <c r="B53" s="1" t="s">
        <v>75</v>
      </c>
      <c r="C53" s="1" t="s">
        <v>75</v>
      </c>
      <c r="D53" s="1" t="s">
        <v>111</v>
      </c>
    </row>
    <row r="54" spans="1:8" x14ac:dyDescent="0.2">
      <c r="A54" s="1">
        <v>10</v>
      </c>
      <c r="B54" s="1">
        <v>15</v>
      </c>
      <c r="C54" s="1">
        <v>5</v>
      </c>
      <c r="D54" s="1" t="s">
        <v>62</v>
      </c>
    </row>
    <row r="55" spans="1:8" x14ac:dyDescent="0.2">
      <c r="A55" s="1">
        <v>6</v>
      </c>
      <c r="B55" s="1">
        <v>9</v>
      </c>
      <c r="C55" s="1">
        <v>7</v>
      </c>
      <c r="D55" s="1" t="s">
        <v>63</v>
      </c>
    </row>
    <row r="56" spans="1:8" x14ac:dyDescent="0.2">
      <c r="A56" s="25">
        <f>-B58</f>
        <v>-50.307882192916054</v>
      </c>
      <c r="B56" s="25">
        <f>-C58</f>
        <v>-5.750739010000002</v>
      </c>
      <c r="C56" s="1">
        <v>0</v>
      </c>
      <c r="D56" s="1" t="s">
        <v>64</v>
      </c>
    </row>
    <row r="57" spans="1:8" x14ac:dyDescent="0.2">
      <c r="A57" s="1">
        <v>-1</v>
      </c>
      <c r="B57" s="1">
        <v>-1</v>
      </c>
      <c r="C57" s="1">
        <v>-1</v>
      </c>
      <c r="D57" s="1" t="s">
        <v>65</v>
      </c>
    </row>
    <row r="58" spans="1:8" x14ac:dyDescent="0.2">
      <c r="A58" s="181">
        <f>FV(A55/100,A54,A57,A56)</f>
        <v>103.27454988551392</v>
      </c>
      <c r="B58" s="25">
        <f>FV(B55/100,B54,B57,B56)</f>
        <v>50.307882192916054</v>
      </c>
      <c r="C58" s="25">
        <f>FV(C55/100,C54,C57,C56)</f>
        <v>5.750739010000002</v>
      </c>
      <c r="D58" s="1" t="s">
        <v>66</v>
      </c>
    </row>
    <row r="60" spans="1:8" x14ac:dyDescent="0.2">
      <c r="A60" s="1" t="s">
        <v>1590</v>
      </c>
    </row>
    <row r="62" spans="1:8" x14ac:dyDescent="0.2">
      <c r="C62" s="1" t="s">
        <v>1591</v>
      </c>
    </row>
    <row r="63" spans="1:8" x14ac:dyDescent="0.2">
      <c r="B63" s="25">
        <f>1032745/A58</f>
        <v>9999.995169621754</v>
      </c>
      <c r="C63" s="1" t="s">
        <v>295</v>
      </c>
    </row>
    <row r="66" spans="1:8" x14ac:dyDescent="0.2">
      <c r="A66" s="348" t="s">
        <v>2721</v>
      </c>
      <c r="B66" s="348"/>
      <c r="C66" s="348"/>
      <c r="D66" s="348"/>
      <c r="E66" s="348"/>
      <c r="F66" s="348"/>
      <c r="G66" s="348"/>
      <c r="H66" s="348"/>
    </row>
    <row r="68" spans="1:8" x14ac:dyDescent="0.2">
      <c r="A68" s="1" t="s">
        <v>2722</v>
      </c>
    </row>
    <row r="69" spans="1:8" x14ac:dyDescent="0.2">
      <c r="A69" s="1" t="s">
        <v>2723</v>
      </c>
    </row>
    <row r="70" spans="1:8" s="116" customFormat="1" x14ac:dyDescent="0.2">
      <c r="A70" s="116" t="s">
        <v>2725</v>
      </c>
    </row>
    <row r="71" spans="1:8" x14ac:dyDescent="0.2">
      <c r="A71" s="1" t="s">
        <v>2724</v>
      </c>
    </row>
    <row r="73" spans="1:8" x14ac:dyDescent="0.2">
      <c r="A73" s="1" t="s">
        <v>146</v>
      </c>
    </row>
    <row r="75" spans="1:8" x14ac:dyDescent="0.2">
      <c r="A75" s="1" t="s">
        <v>2726</v>
      </c>
    </row>
    <row r="76" spans="1:8" x14ac:dyDescent="0.2">
      <c r="A76" s="1" t="s">
        <v>2727</v>
      </c>
    </row>
    <row r="77" spans="1:8" x14ac:dyDescent="0.2">
      <c r="A77" s="1" t="s">
        <v>2728</v>
      </c>
    </row>
    <row r="79" spans="1:8" x14ac:dyDescent="0.2">
      <c r="A79" s="18" t="s">
        <v>2729</v>
      </c>
    </row>
    <row r="80" spans="1:8" x14ac:dyDescent="0.2">
      <c r="A80" s="18"/>
      <c r="B80" s="63" t="s">
        <v>2730</v>
      </c>
    </row>
    <row r="81" spans="1:11" x14ac:dyDescent="0.2">
      <c r="A81" s="18"/>
      <c r="G81" s="1" t="s">
        <v>60</v>
      </c>
    </row>
    <row r="82" spans="1:11" x14ac:dyDescent="0.2">
      <c r="A82" s="18"/>
      <c r="F82" s="20" t="s">
        <v>75</v>
      </c>
      <c r="G82" s="1" t="s">
        <v>111</v>
      </c>
    </row>
    <row r="83" spans="1:11" x14ac:dyDescent="0.2">
      <c r="A83" s="18"/>
      <c r="B83" s="1" t="s">
        <v>2731</v>
      </c>
      <c r="F83" s="20">
        <f>20*12</f>
        <v>240</v>
      </c>
      <c r="G83" s="1" t="s">
        <v>62</v>
      </c>
    </row>
    <row r="84" spans="1:11" x14ac:dyDescent="0.2">
      <c r="B84" s="1" t="s">
        <v>2732</v>
      </c>
      <c r="F84" s="20">
        <f>12/12</f>
        <v>1</v>
      </c>
      <c r="G84" s="1" t="s">
        <v>63</v>
      </c>
      <c r="H84" s="1" t="s">
        <v>2733</v>
      </c>
    </row>
    <row r="85" spans="1:11" x14ac:dyDescent="0.2">
      <c r="B85" s="1" t="s">
        <v>2390</v>
      </c>
      <c r="F85" s="20">
        <v>100000</v>
      </c>
      <c r="G85" s="1" t="s">
        <v>64</v>
      </c>
    </row>
    <row r="86" spans="1:11" x14ac:dyDescent="0.2">
      <c r="B86" s="1" t="s">
        <v>2734</v>
      </c>
      <c r="F86" s="50">
        <f>PMT(F84/100,F83,F85,F87)</f>
        <v>-1101.08613356961</v>
      </c>
      <c r="G86" s="1" t="s">
        <v>65</v>
      </c>
      <c r="H86" s="1" t="s">
        <v>227</v>
      </c>
    </row>
    <row r="87" spans="1:11" x14ac:dyDescent="0.2">
      <c r="F87" s="20">
        <v>0</v>
      </c>
      <c r="G87" s="1" t="s">
        <v>66</v>
      </c>
    </row>
    <row r="88" spans="1:11" x14ac:dyDescent="0.2">
      <c r="F88" s="20"/>
    </row>
    <row r="89" spans="1:11" x14ac:dyDescent="0.2">
      <c r="B89" s="63" t="s">
        <v>2735</v>
      </c>
      <c r="F89" s="20"/>
    </row>
    <row r="90" spans="1:11" x14ac:dyDescent="0.2">
      <c r="F90" s="20"/>
    </row>
    <row r="91" spans="1:11" x14ac:dyDescent="0.2">
      <c r="G91" s="1" t="s">
        <v>60</v>
      </c>
    </row>
    <row r="92" spans="1:11" x14ac:dyDescent="0.2">
      <c r="F92" s="20" t="s">
        <v>75</v>
      </c>
      <c r="G92" s="1" t="s">
        <v>111</v>
      </c>
    </row>
    <row r="93" spans="1:11" x14ac:dyDescent="0.2">
      <c r="B93" s="1" t="s">
        <v>2736</v>
      </c>
      <c r="F93" s="20">
        <f>F83</f>
        <v>240</v>
      </c>
      <c r="G93" s="1" t="s">
        <v>62</v>
      </c>
    </row>
    <row r="94" spans="1:11" x14ac:dyDescent="0.2">
      <c r="B94" s="1" t="s">
        <v>2740</v>
      </c>
      <c r="F94" s="349">
        <f>RATE(F93,F96,F95,F97)</f>
        <v>1.0267628803104644E-2</v>
      </c>
      <c r="G94" s="1" t="s">
        <v>63</v>
      </c>
      <c r="H94" s="1" t="s">
        <v>227</v>
      </c>
    </row>
    <row r="95" spans="1:11" x14ac:dyDescent="0.2">
      <c r="B95" s="1" t="s">
        <v>2737</v>
      </c>
      <c r="F95" s="20">
        <v>98000</v>
      </c>
      <c r="G95" s="1" t="s">
        <v>64</v>
      </c>
      <c r="H95" s="1" t="s">
        <v>2738</v>
      </c>
      <c r="K95" s="1" t="s">
        <v>2743</v>
      </c>
    </row>
    <row r="96" spans="1:11" x14ac:dyDescent="0.2">
      <c r="B96" s="1" t="s">
        <v>2739</v>
      </c>
      <c r="F96" s="50">
        <f>F86</f>
        <v>-1101.08613356961</v>
      </c>
      <c r="G96" s="1" t="s">
        <v>65</v>
      </c>
    </row>
    <row r="97" spans="2:7" x14ac:dyDescent="0.2">
      <c r="F97" s="20">
        <v>0</v>
      </c>
      <c r="G97" s="1" t="s">
        <v>66</v>
      </c>
    </row>
    <row r="98" spans="2:7" x14ac:dyDescent="0.2">
      <c r="F98" s="20"/>
    </row>
    <row r="99" spans="2:7" x14ac:dyDescent="0.2">
      <c r="B99" s="1" t="s">
        <v>2741</v>
      </c>
      <c r="F99" s="20"/>
    </row>
    <row r="100" spans="2:7" x14ac:dyDescent="0.2">
      <c r="B100" s="1" t="s">
        <v>2742</v>
      </c>
      <c r="F100" s="20"/>
    </row>
    <row r="101" spans="2:7" x14ac:dyDescent="0.2">
      <c r="F101" s="20"/>
    </row>
    <row r="102" spans="2:7" x14ac:dyDescent="0.2">
      <c r="B102" s="1" t="s">
        <v>2744</v>
      </c>
      <c r="F102" s="20"/>
    </row>
    <row r="103" spans="2:7" x14ac:dyDescent="0.2">
      <c r="F103" s="20"/>
    </row>
    <row r="104" spans="2:7" x14ac:dyDescent="0.2">
      <c r="B104" s="1" t="s">
        <v>2745</v>
      </c>
      <c r="F104" s="20"/>
    </row>
    <row r="105" spans="2:7" x14ac:dyDescent="0.2">
      <c r="B105" s="2" t="s">
        <v>799</v>
      </c>
      <c r="C105" s="2"/>
      <c r="D105" s="2"/>
      <c r="E105" s="350">
        <f>(1+F94)^12-1</f>
        <v>0.13041327639612943</v>
      </c>
      <c r="F105" s="20"/>
      <c r="G105" s="1" t="s">
        <v>2746</v>
      </c>
    </row>
    <row r="106" spans="2:7" x14ac:dyDescent="0.2">
      <c r="F106" s="20"/>
    </row>
    <row r="107" spans="2:7" x14ac:dyDescent="0.2">
      <c r="F107" s="20"/>
    </row>
    <row r="108" spans="2:7" x14ac:dyDescent="0.2">
      <c r="F108" s="20"/>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14A12-DBEC-6F45-A7BF-484B5234F475}">
  <dimension ref="A1:M165"/>
  <sheetViews>
    <sheetView rightToLeft="1" zoomScale="280" zoomScaleNormal="280" workbookViewId="0">
      <selection activeCell="F167" sqref="F167"/>
    </sheetView>
  </sheetViews>
  <sheetFormatPr baseColWidth="10" defaultRowHeight="16" x14ac:dyDescent="0.2"/>
  <cols>
    <col min="1" max="1" width="10.83203125" style="1"/>
    <col min="2" max="2" width="11.1640625" style="1" bestFit="1" customWidth="1"/>
    <col min="3" max="16384" width="10.83203125" style="1"/>
  </cols>
  <sheetData>
    <row r="1" spans="1:8" x14ac:dyDescent="0.2">
      <c r="A1" s="18" t="s">
        <v>2862</v>
      </c>
    </row>
    <row r="3" spans="1:8" x14ac:dyDescent="0.2">
      <c r="A3" s="1" t="s">
        <v>2863</v>
      </c>
    </row>
    <row r="4" spans="1:8" x14ac:dyDescent="0.2">
      <c r="A4" s="1" t="s">
        <v>2864</v>
      </c>
    </row>
    <row r="5" spans="1:8" x14ac:dyDescent="0.2">
      <c r="A5" s="1" t="s">
        <v>2865</v>
      </c>
    </row>
    <row r="6" spans="1:8" x14ac:dyDescent="0.2">
      <c r="A6" s="1" t="s">
        <v>2866</v>
      </c>
    </row>
    <row r="8" spans="1:8" x14ac:dyDescent="0.2">
      <c r="A8" s="151" t="s">
        <v>2867</v>
      </c>
      <c r="B8" s="151"/>
      <c r="C8" s="151"/>
      <c r="D8" s="151"/>
      <c r="E8" s="151" t="s">
        <v>2869</v>
      </c>
      <c r="F8" s="151"/>
      <c r="G8" s="151"/>
      <c r="H8" s="151"/>
    </row>
    <row r="10" spans="1:8" x14ac:dyDescent="0.2">
      <c r="A10" s="1" t="s">
        <v>2868</v>
      </c>
    </row>
    <row r="11" spans="1:8" x14ac:dyDescent="0.2">
      <c r="F11" s="345" t="s">
        <v>2872</v>
      </c>
      <c r="G11" s="69" t="s">
        <v>230</v>
      </c>
    </row>
    <row r="12" spans="1:8" x14ac:dyDescent="0.2">
      <c r="C12" s="498" t="s">
        <v>2875</v>
      </c>
      <c r="D12" s="498"/>
      <c r="E12" s="498"/>
      <c r="F12" s="345" t="s">
        <v>2873</v>
      </c>
      <c r="G12" s="69" t="s">
        <v>2870</v>
      </c>
    </row>
    <row r="13" spans="1:8" x14ac:dyDescent="0.2">
      <c r="C13" s="369" t="s">
        <v>2876</v>
      </c>
      <c r="D13" s="369" t="s">
        <v>1228</v>
      </c>
      <c r="E13" s="369" t="s">
        <v>1142</v>
      </c>
      <c r="F13" s="345" t="s">
        <v>2874</v>
      </c>
      <c r="G13" s="69" t="s">
        <v>2871</v>
      </c>
    </row>
    <row r="14" spans="1:8" x14ac:dyDescent="0.2">
      <c r="H14" s="1" t="s">
        <v>60</v>
      </c>
    </row>
    <row r="15" spans="1:8" x14ac:dyDescent="0.2">
      <c r="C15" s="20" t="s">
        <v>75</v>
      </c>
      <c r="D15" s="20" t="s">
        <v>75</v>
      </c>
      <c r="E15" s="20" t="s">
        <v>75</v>
      </c>
      <c r="F15" s="20" t="s">
        <v>75</v>
      </c>
      <c r="G15" s="20" t="s">
        <v>75</v>
      </c>
      <c r="H15" s="1" t="s">
        <v>111</v>
      </c>
    </row>
    <row r="16" spans="1:8" x14ac:dyDescent="0.2">
      <c r="C16" s="250" t="s">
        <v>2880</v>
      </c>
      <c r="D16" s="250" t="s">
        <v>2879</v>
      </c>
      <c r="E16" s="250" t="s">
        <v>2878</v>
      </c>
      <c r="F16" s="370" t="s">
        <v>2877</v>
      </c>
      <c r="G16" s="370" t="s">
        <v>2877</v>
      </c>
      <c r="H16" s="1" t="s">
        <v>62</v>
      </c>
    </row>
    <row r="17" spans="1:12" x14ac:dyDescent="0.2">
      <c r="C17" s="371" t="s">
        <v>2882</v>
      </c>
      <c r="D17" s="250" t="s">
        <v>2881</v>
      </c>
      <c r="E17" s="250" t="s">
        <v>2881</v>
      </c>
      <c r="F17" s="371" t="s">
        <v>2882</v>
      </c>
      <c r="G17" s="250" t="s">
        <v>2881</v>
      </c>
      <c r="H17" s="1" t="s">
        <v>63</v>
      </c>
    </row>
    <row r="18" spans="1:12" x14ac:dyDescent="0.2">
      <c r="C18" s="250" t="s">
        <v>2886</v>
      </c>
      <c r="D18" s="371" t="s">
        <v>2882</v>
      </c>
      <c r="E18" s="371" t="s">
        <v>2882</v>
      </c>
      <c r="F18" s="250" t="s">
        <v>2881</v>
      </c>
      <c r="G18" s="371" t="s">
        <v>2882</v>
      </c>
      <c r="H18" s="1" t="s">
        <v>64</v>
      </c>
    </row>
    <row r="19" spans="1:12" x14ac:dyDescent="0.2">
      <c r="C19" s="370" t="s">
        <v>2883</v>
      </c>
      <c r="D19" s="370" t="s">
        <v>2883</v>
      </c>
      <c r="E19" s="370" t="s">
        <v>2883</v>
      </c>
      <c r="F19" s="370" t="s">
        <v>2883</v>
      </c>
      <c r="G19" s="370" t="s">
        <v>2883</v>
      </c>
      <c r="H19" s="1" t="s">
        <v>65</v>
      </c>
    </row>
    <row r="20" spans="1:12" x14ac:dyDescent="0.2">
      <c r="C20" s="250" t="s">
        <v>2885</v>
      </c>
      <c r="D20" s="250" t="s">
        <v>2884</v>
      </c>
      <c r="E20" s="250" t="s">
        <v>2884</v>
      </c>
      <c r="F20" s="250" t="s">
        <v>2884</v>
      </c>
      <c r="G20" s="250" t="s">
        <v>2884</v>
      </c>
      <c r="H20" s="1" t="s">
        <v>66</v>
      </c>
    </row>
    <row r="22" spans="1:12" x14ac:dyDescent="0.2">
      <c r="A22" s="1" t="s">
        <v>2887</v>
      </c>
    </row>
    <row r="23" spans="1:12" x14ac:dyDescent="0.2">
      <c r="A23" s="1" t="s">
        <v>2888</v>
      </c>
    </row>
    <row r="24" spans="1:12" x14ac:dyDescent="0.2">
      <c r="A24" s="1" t="s">
        <v>2889</v>
      </c>
    </row>
    <row r="25" spans="1:12" x14ac:dyDescent="0.2">
      <c r="A25" s="1" t="s">
        <v>2899</v>
      </c>
    </row>
    <row r="27" spans="1:12" x14ac:dyDescent="0.2">
      <c r="A27" s="1" t="s">
        <v>568</v>
      </c>
      <c r="J27" s="20"/>
    </row>
    <row r="28" spans="1:12" x14ac:dyDescent="0.2">
      <c r="A28" s="1" t="s">
        <v>2890</v>
      </c>
      <c r="J28" s="26" t="s">
        <v>2006</v>
      </c>
      <c r="K28" s="1" t="s">
        <v>60</v>
      </c>
    </row>
    <row r="29" spans="1:12" x14ac:dyDescent="0.2">
      <c r="J29" s="20" t="s">
        <v>75</v>
      </c>
      <c r="K29" s="1" t="s">
        <v>111</v>
      </c>
    </row>
    <row r="30" spans="1:12" x14ac:dyDescent="0.2">
      <c r="A30" s="18" t="s">
        <v>2902</v>
      </c>
      <c r="J30" s="20">
        <f>10*4</f>
        <v>40</v>
      </c>
      <c r="K30" s="1" t="s">
        <v>62</v>
      </c>
      <c r="L30" s="1" t="s">
        <v>2898</v>
      </c>
    </row>
    <row r="31" spans="1:12" x14ac:dyDescent="0.2">
      <c r="J31" s="20">
        <f>((1+13%)^(1/4)-1)*100</f>
        <v>3.1025984771220427</v>
      </c>
      <c r="K31" s="1" t="s">
        <v>63</v>
      </c>
      <c r="L31" s="1" t="s">
        <v>2900</v>
      </c>
    </row>
    <row r="32" spans="1:12" x14ac:dyDescent="0.2">
      <c r="J32" s="372">
        <f>PV(J31/100,J30,J33,J34)</f>
        <v>-86.299226590298488</v>
      </c>
      <c r="K32" s="1" t="s">
        <v>64</v>
      </c>
      <c r="L32" s="1" t="s">
        <v>227</v>
      </c>
    </row>
    <row r="33" spans="1:12" x14ac:dyDescent="0.2">
      <c r="J33" s="20">
        <f>10%/4*100</f>
        <v>2.5</v>
      </c>
      <c r="K33" s="1" t="s">
        <v>65</v>
      </c>
      <c r="L33" s="1" t="s">
        <v>2901</v>
      </c>
    </row>
    <row r="34" spans="1:12" x14ac:dyDescent="0.2">
      <c r="J34" s="20">
        <v>100</v>
      </c>
      <c r="K34" s="1" t="s">
        <v>66</v>
      </c>
      <c r="L34" s="1" t="s">
        <v>567</v>
      </c>
    </row>
    <row r="35" spans="1:12" x14ac:dyDescent="0.2">
      <c r="J35" s="20"/>
    </row>
    <row r="36" spans="1:12" x14ac:dyDescent="0.2">
      <c r="A36" s="1" t="s">
        <v>2891</v>
      </c>
      <c r="J36" s="26" t="s">
        <v>2007</v>
      </c>
      <c r="K36" s="1" t="s">
        <v>60</v>
      </c>
    </row>
    <row r="37" spans="1:12" x14ac:dyDescent="0.2">
      <c r="A37" s="1" t="s">
        <v>2892</v>
      </c>
      <c r="J37" s="20" t="s">
        <v>75</v>
      </c>
      <c r="K37" s="1" t="s">
        <v>111</v>
      </c>
    </row>
    <row r="38" spans="1:12" x14ac:dyDescent="0.2">
      <c r="J38" s="20">
        <f>7*4</f>
        <v>28</v>
      </c>
      <c r="K38" s="1" t="s">
        <v>62</v>
      </c>
      <c r="L38" s="1" t="s">
        <v>2903</v>
      </c>
    </row>
    <row r="39" spans="1:12" x14ac:dyDescent="0.2">
      <c r="A39" s="18" t="s">
        <v>2905</v>
      </c>
      <c r="J39" s="20">
        <f>((1+12%)^(1/4)-1)*100</f>
        <v>2.8737344722080227</v>
      </c>
      <c r="K39" s="1" t="s">
        <v>63</v>
      </c>
      <c r="L39" s="1" t="s">
        <v>2904</v>
      </c>
    </row>
    <row r="40" spans="1:12" x14ac:dyDescent="0.2">
      <c r="J40" s="373">
        <f>PV(J39/100,J38,J41,J42)</f>
        <v>-92.877700464680956</v>
      </c>
      <c r="K40" s="1" t="s">
        <v>64</v>
      </c>
      <c r="L40" s="1" t="s">
        <v>227</v>
      </c>
    </row>
    <row r="41" spans="1:12" x14ac:dyDescent="0.2">
      <c r="J41" s="20">
        <f>10%/4*100</f>
        <v>2.5</v>
      </c>
      <c r="K41" s="1" t="s">
        <v>65</v>
      </c>
      <c r="L41" s="1" t="s">
        <v>2901</v>
      </c>
    </row>
    <row r="42" spans="1:12" x14ac:dyDescent="0.2">
      <c r="J42" s="20">
        <v>100</v>
      </c>
      <c r="K42" s="1" t="s">
        <v>66</v>
      </c>
      <c r="L42" s="1" t="s">
        <v>567</v>
      </c>
    </row>
    <row r="44" spans="1:12" x14ac:dyDescent="0.2">
      <c r="A44" s="1" t="s">
        <v>2893</v>
      </c>
      <c r="J44" s="26" t="s">
        <v>2008</v>
      </c>
      <c r="K44" s="1" t="s">
        <v>60</v>
      </c>
    </row>
    <row r="45" spans="1:12" x14ac:dyDescent="0.2">
      <c r="A45" s="1" t="s">
        <v>2892</v>
      </c>
      <c r="J45" s="20" t="s">
        <v>75</v>
      </c>
      <c r="K45" s="1" t="s">
        <v>111</v>
      </c>
    </row>
    <row r="46" spans="1:12" x14ac:dyDescent="0.2">
      <c r="J46" s="20">
        <f>6*4</f>
        <v>24</v>
      </c>
      <c r="K46" s="1" t="s">
        <v>62</v>
      </c>
      <c r="L46" s="1" t="s">
        <v>2908</v>
      </c>
    </row>
    <row r="47" spans="1:12" x14ac:dyDescent="0.2">
      <c r="A47" s="1" t="s">
        <v>2906</v>
      </c>
      <c r="J47" s="20">
        <f>((1+14%)^(1/4)-1)*100</f>
        <v>3.3299484758959608</v>
      </c>
      <c r="K47" s="1" t="s">
        <v>63</v>
      </c>
      <c r="L47" s="1" t="s">
        <v>2909</v>
      </c>
    </row>
    <row r="48" spans="1:12" x14ac:dyDescent="0.2">
      <c r="A48" s="1" t="s">
        <v>2907</v>
      </c>
      <c r="J48" s="373">
        <f>PV(J47/100,J46,J49,J50)</f>
        <v>-86.431167981200929</v>
      </c>
      <c r="K48" s="1" t="s">
        <v>64</v>
      </c>
    </row>
    <row r="49" spans="1:13" x14ac:dyDescent="0.2">
      <c r="J49" s="20">
        <f>10%/4*100</f>
        <v>2.5</v>
      </c>
      <c r="K49" s="1" t="s">
        <v>65</v>
      </c>
    </row>
    <row r="50" spans="1:13" x14ac:dyDescent="0.2">
      <c r="A50" s="1" t="s">
        <v>2910</v>
      </c>
      <c r="F50" s="374">
        <f>-J48</f>
        <v>86.431167981200929</v>
      </c>
      <c r="J50" s="20">
        <v>100</v>
      </c>
      <c r="K50" s="1" t="s">
        <v>66</v>
      </c>
    </row>
    <row r="51" spans="1:13" x14ac:dyDescent="0.2">
      <c r="A51" s="1" t="s">
        <v>2911</v>
      </c>
      <c r="F51" s="1">
        <v>2.5</v>
      </c>
    </row>
    <row r="52" spans="1:13" x14ac:dyDescent="0.2">
      <c r="A52" s="18" t="s">
        <v>2912</v>
      </c>
      <c r="F52" s="375">
        <f>F50+F51</f>
        <v>88.931167981200929</v>
      </c>
    </row>
    <row r="54" spans="1:13" x14ac:dyDescent="0.2">
      <c r="A54" s="1" t="s">
        <v>2894</v>
      </c>
      <c r="J54" s="26" t="s">
        <v>2927</v>
      </c>
      <c r="K54" s="1" t="s">
        <v>60</v>
      </c>
    </row>
    <row r="55" spans="1:13" x14ac:dyDescent="0.2">
      <c r="A55" s="1" t="s">
        <v>2924</v>
      </c>
      <c r="J55" s="20" t="s">
        <v>75</v>
      </c>
      <c r="K55" s="1" t="s">
        <v>111</v>
      </c>
    </row>
    <row r="56" spans="1:13" x14ac:dyDescent="0.2">
      <c r="J56" s="20">
        <f>10*4</f>
        <v>40</v>
      </c>
      <c r="K56" s="1" t="s">
        <v>62</v>
      </c>
      <c r="L56" s="1" t="s">
        <v>2916</v>
      </c>
    </row>
    <row r="57" spans="1:13" x14ac:dyDescent="0.2">
      <c r="A57" s="1" t="s">
        <v>2918</v>
      </c>
      <c r="D57" s="377">
        <f>J57</f>
        <v>2.7061580983063429</v>
      </c>
      <c r="J57" s="379">
        <f>RATE(J56,J59,J58,J60)*100</f>
        <v>2.7061580983063429</v>
      </c>
      <c r="K57" s="1" t="s">
        <v>63</v>
      </c>
      <c r="L57" s="1" t="s">
        <v>227</v>
      </c>
      <c r="M57" s="1" t="s">
        <v>2917</v>
      </c>
    </row>
    <row r="58" spans="1:13" x14ac:dyDescent="0.2">
      <c r="A58" s="1" t="s">
        <v>2919</v>
      </c>
      <c r="J58" s="376">
        <v>-95</v>
      </c>
      <c r="K58" s="1" t="s">
        <v>64</v>
      </c>
      <c r="L58" s="1" t="s">
        <v>2913</v>
      </c>
    </row>
    <row r="59" spans="1:13" x14ac:dyDescent="0.2">
      <c r="J59" s="20">
        <f>10%/4*100</f>
        <v>2.5</v>
      </c>
      <c r="K59" s="1" t="s">
        <v>65</v>
      </c>
      <c r="L59" s="1" t="s">
        <v>2914</v>
      </c>
    </row>
    <row r="60" spans="1:13" x14ac:dyDescent="0.2">
      <c r="A60" s="1" t="s">
        <v>2920</v>
      </c>
      <c r="J60" s="20">
        <v>100</v>
      </c>
      <c r="K60" s="1" t="s">
        <v>66</v>
      </c>
      <c r="L60" s="1" t="s">
        <v>2915</v>
      </c>
    </row>
    <row r="62" spans="1:13" x14ac:dyDescent="0.2">
      <c r="A62" s="1" t="s">
        <v>2921</v>
      </c>
    </row>
    <row r="63" spans="1:13" x14ac:dyDescent="0.2">
      <c r="A63" s="1" t="s">
        <v>2922</v>
      </c>
    </row>
    <row r="65" spans="1:11" x14ac:dyDescent="0.2">
      <c r="A65" s="1" t="s">
        <v>2923</v>
      </c>
    </row>
    <row r="67" spans="1:11" x14ac:dyDescent="0.2">
      <c r="A67" s="1" t="s">
        <v>2925</v>
      </c>
    </row>
    <row r="69" spans="1:11" x14ac:dyDescent="0.2">
      <c r="E69" s="262"/>
      <c r="F69" s="262"/>
      <c r="G69" s="1">
        <f>((1+2.706158%)^(4)-1)*100</f>
        <v>11.272010290992029</v>
      </c>
      <c r="K69" s="1" t="str">
        <f ca="1">_xlfn.FORMULATEXT(G69)</f>
        <v>=((1+2.706158%)^(4)-1)*100</v>
      </c>
    </row>
    <row r="71" spans="1:11" x14ac:dyDescent="0.2">
      <c r="A71" s="18" t="s">
        <v>2926</v>
      </c>
      <c r="B71" s="18"/>
      <c r="C71" s="18"/>
      <c r="D71" s="18"/>
      <c r="E71" s="378">
        <v>0.11272</v>
      </c>
    </row>
    <row r="73" spans="1:11" x14ac:dyDescent="0.2">
      <c r="A73" s="1" t="s">
        <v>2895</v>
      </c>
    </row>
    <row r="74" spans="1:11" x14ac:dyDescent="0.2">
      <c r="A74" s="1" t="s">
        <v>2896</v>
      </c>
    </row>
    <row r="75" spans="1:11" x14ac:dyDescent="0.2">
      <c r="A75" s="1" t="s">
        <v>2897</v>
      </c>
    </row>
    <row r="77" spans="1:11" x14ac:dyDescent="0.2">
      <c r="C77" s="498" t="s">
        <v>2875</v>
      </c>
      <c r="D77" s="498"/>
      <c r="E77" s="498"/>
      <c r="H77" s="1" t="s">
        <v>2928</v>
      </c>
    </row>
    <row r="78" spans="1:11" x14ac:dyDescent="0.2">
      <c r="C78" s="369" t="s">
        <v>2876</v>
      </c>
      <c r="D78" s="369" t="s">
        <v>1228</v>
      </c>
      <c r="E78" s="369" t="s">
        <v>1142</v>
      </c>
      <c r="H78" s="1" t="s">
        <v>2929</v>
      </c>
    </row>
    <row r="79" spans="1:11" x14ac:dyDescent="0.2">
      <c r="F79" s="1" t="s">
        <v>60</v>
      </c>
      <c r="H79" s="1" t="s">
        <v>2930</v>
      </c>
    </row>
    <row r="80" spans="1:11" x14ac:dyDescent="0.2">
      <c r="C80" s="20" t="s">
        <v>75</v>
      </c>
      <c r="D80" s="20" t="s">
        <v>75</v>
      </c>
      <c r="E80" s="20" t="s">
        <v>75</v>
      </c>
      <c r="F80" s="1" t="s">
        <v>111</v>
      </c>
      <c r="H80" s="1" t="s">
        <v>2931</v>
      </c>
    </row>
    <row r="81" spans="1:8" x14ac:dyDescent="0.2">
      <c r="C81" s="20">
        <f>5*4</f>
        <v>20</v>
      </c>
      <c r="D81" s="20">
        <f>(10-1-5)*4</f>
        <v>16</v>
      </c>
      <c r="E81" s="20">
        <f>(10-1)*4</f>
        <v>36</v>
      </c>
      <c r="F81" s="1" t="s">
        <v>62</v>
      </c>
    </row>
    <row r="82" spans="1:8" ht="34" customHeight="1" x14ac:dyDescent="0.2">
      <c r="C82" s="338">
        <f>RATE(C81,C84,C83,C85)*100</f>
        <v>3.2275993011484294</v>
      </c>
      <c r="D82" s="236">
        <f>((1+9%)^(1/4)-1)*100</f>
        <v>2.1778180864641117</v>
      </c>
      <c r="E82" s="236">
        <f>((1+12%)^(1/4)-1)*100</f>
        <v>2.8737344722080227</v>
      </c>
      <c r="F82" s="1" t="s">
        <v>63</v>
      </c>
      <c r="G82" s="1" t="s">
        <v>2933</v>
      </c>
    </row>
    <row r="83" spans="1:8" ht="31" customHeight="1" x14ac:dyDescent="0.2">
      <c r="C83" s="381">
        <f>E83</f>
        <v>-91.684615361661983</v>
      </c>
      <c r="D83" s="382">
        <f>PV(D82/100,D81,D84,D85)</f>
        <v>-104.31349725772361</v>
      </c>
      <c r="E83" s="382">
        <f>PV(E82/100,E81,E84,E85)</f>
        <v>-91.684615361661983</v>
      </c>
      <c r="F83" s="1" t="s">
        <v>64</v>
      </c>
      <c r="G83" s="1" t="s">
        <v>2932</v>
      </c>
    </row>
    <row r="84" spans="1:8" x14ac:dyDescent="0.2">
      <c r="C84" s="20">
        <f>10%/4*100</f>
        <v>2.5</v>
      </c>
      <c r="D84" s="20">
        <f>10%/4*100</f>
        <v>2.5</v>
      </c>
      <c r="E84" s="20">
        <f>10%/4*100</f>
        <v>2.5</v>
      </c>
      <c r="F84" s="1" t="s">
        <v>65</v>
      </c>
    </row>
    <row r="85" spans="1:8" x14ac:dyDescent="0.2">
      <c r="C85" s="380">
        <f>-D83</f>
        <v>104.31349725772361</v>
      </c>
      <c r="D85" s="20">
        <v>100</v>
      </c>
      <c r="E85" s="20">
        <v>100</v>
      </c>
      <c r="F85" s="1" t="s">
        <v>66</v>
      </c>
    </row>
    <row r="87" spans="1:8" x14ac:dyDescent="0.2">
      <c r="A87" s="1" t="s">
        <v>2934</v>
      </c>
      <c r="D87" s="1">
        <f>C82</f>
        <v>3.2275993011484294</v>
      </c>
    </row>
    <row r="88" spans="1:8" x14ac:dyDescent="0.2">
      <c r="A88" s="1" t="s">
        <v>2935</v>
      </c>
    </row>
    <row r="89" spans="1:8" x14ac:dyDescent="0.2">
      <c r="D89" s="1">
        <f>((1+3.227599301%)^4-1)*100</f>
        <v>13.548998834664495</v>
      </c>
    </row>
    <row r="91" spans="1:8" x14ac:dyDescent="0.2">
      <c r="A91" s="18" t="s">
        <v>2936</v>
      </c>
      <c r="G91" s="383">
        <v>0.1354899883</v>
      </c>
    </row>
    <row r="93" spans="1:8" x14ac:dyDescent="0.2">
      <c r="A93" s="151" t="s">
        <v>2937</v>
      </c>
      <c r="B93" s="151"/>
      <c r="C93" s="151"/>
      <c r="D93" s="151"/>
      <c r="E93" s="151"/>
      <c r="F93" s="151"/>
      <c r="G93" s="151"/>
      <c r="H93" s="151"/>
    </row>
    <row r="95" spans="1:8" x14ac:dyDescent="0.2">
      <c r="A95" s="1" t="s">
        <v>2938</v>
      </c>
    </row>
    <row r="96" spans="1:8" x14ac:dyDescent="0.2">
      <c r="A96" s="1" t="s">
        <v>2939</v>
      </c>
    </row>
    <row r="97" spans="1:5" x14ac:dyDescent="0.2">
      <c r="A97" s="1" t="s">
        <v>2940</v>
      </c>
    </row>
    <row r="98" spans="1:5" x14ac:dyDescent="0.2">
      <c r="A98" s="1" t="s">
        <v>2941</v>
      </c>
    </row>
    <row r="99" spans="1:5" x14ac:dyDescent="0.2">
      <c r="A99" s="1" t="s">
        <v>2942</v>
      </c>
    </row>
    <row r="101" spans="1:5" x14ac:dyDescent="0.2">
      <c r="A101" s="1" t="s">
        <v>2943</v>
      </c>
    </row>
    <row r="102" spans="1:5" x14ac:dyDescent="0.2">
      <c r="A102" s="1" t="s">
        <v>2944</v>
      </c>
    </row>
    <row r="104" spans="1:5" x14ac:dyDescent="0.2">
      <c r="A104" s="18" t="s">
        <v>2945</v>
      </c>
    </row>
    <row r="105" spans="1:5" x14ac:dyDescent="0.2">
      <c r="A105" s="1" t="s">
        <v>2946</v>
      </c>
    </row>
    <row r="106" spans="1:5" x14ac:dyDescent="0.2">
      <c r="A106" s="1" t="s">
        <v>2947</v>
      </c>
    </row>
    <row r="107" spans="1:5" x14ac:dyDescent="0.2">
      <c r="A107" s="1" t="s">
        <v>2956</v>
      </c>
    </row>
    <row r="108" spans="1:5" x14ac:dyDescent="0.2">
      <c r="A108" s="1" t="s">
        <v>2948</v>
      </c>
    </row>
    <row r="110" spans="1:5" x14ac:dyDescent="0.2">
      <c r="A110" s="1" t="s">
        <v>2949</v>
      </c>
    </row>
    <row r="112" spans="1:5" ht="52" thickBot="1" x14ac:dyDescent="0.25">
      <c r="A112" s="398" t="s">
        <v>29</v>
      </c>
      <c r="B112" s="399" t="s">
        <v>2950</v>
      </c>
      <c r="E112" s="1" t="s">
        <v>2951</v>
      </c>
    </row>
    <row r="113" spans="1:13" x14ac:dyDescent="0.2">
      <c r="A113" s="392">
        <v>1</v>
      </c>
      <c r="B113" s="393">
        <v>8.2432160000000004E-2</v>
      </c>
    </row>
    <row r="114" spans="1:13" ht="17" thickBot="1" x14ac:dyDescent="0.25">
      <c r="A114" s="396">
        <v>2</v>
      </c>
      <c r="B114" s="397">
        <v>8.2432160000000004E-2</v>
      </c>
      <c r="G114" s="20" t="s">
        <v>2960</v>
      </c>
      <c r="H114" s="20" t="s">
        <v>2958</v>
      </c>
      <c r="I114" s="20" t="s">
        <v>2957</v>
      </c>
      <c r="J114" s="20" t="s">
        <v>2954</v>
      </c>
      <c r="K114" s="20" t="s">
        <v>2952</v>
      </c>
    </row>
    <row r="115" spans="1:13" x14ac:dyDescent="0.2">
      <c r="A115" s="392">
        <v>3</v>
      </c>
      <c r="B115" s="393">
        <v>6.1363550000000003E-2</v>
      </c>
      <c r="G115" s="20" t="s">
        <v>2959</v>
      </c>
      <c r="H115" s="20" t="s">
        <v>2959</v>
      </c>
      <c r="I115" s="20" t="s">
        <v>2955</v>
      </c>
      <c r="J115" s="20" t="s">
        <v>2955</v>
      </c>
      <c r="K115" s="20" t="s">
        <v>2953</v>
      </c>
      <c r="L115" s="1" t="s">
        <v>60</v>
      </c>
    </row>
    <row r="116" spans="1:13" x14ac:dyDescent="0.2">
      <c r="A116" s="394">
        <v>4</v>
      </c>
      <c r="B116" s="395">
        <v>6.1363550000000003E-2</v>
      </c>
      <c r="G116" s="20" t="s">
        <v>75</v>
      </c>
      <c r="H116" s="20" t="s">
        <v>75</v>
      </c>
      <c r="I116" s="20" t="s">
        <v>75</v>
      </c>
      <c r="J116" s="20" t="s">
        <v>75</v>
      </c>
      <c r="K116" s="20" t="s">
        <v>75</v>
      </c>
      <c r="L116" s="1" t="s">
        <v>111</v>
      </c>
    </row>
    <row r="117" spans="1:13" ht="17" thickBot="1" x14ac:dyDescent="0.25">
      <c r="A117" s="396">
        <v>5</v>
      </c>
      <c r="B117" s="397">
        <v>6.1363550000000003E-2</v>
      </c>
      <c r="G117" s="20">
        <f>2*4</f>
        <v>8</v>
      </c>
      <c r="H117" s="20">
        <f>3*4</f>
        <v>12</v>
      </c>
      <c r="I117" s="20">
        <v>5</v>
      </c>
      <c r="J117" s="20">
        <v>4</v>
      </c>
      <c r="K117" s="20">
        <v>12</v>
      </c>
      <c r="L117" s="1" t="s">
        <v>62</v>
      </c>
    </row>
    <row r="118" spans="1:13" x14ac:dyDescent="0.2">
      <c r="A118" s="386">
        <v>6</v>
      </c>
      <c r="B118" s="387">
        <v>0.12</v>
      </c>
      <c r="G118" s="20">
        <f>((1+8.24%)^(1/4)-1)*100</f>
        <v>1.999242364401721</v>
      </c>
      <c r="H118" s="20">
        <f>((1+6.14%)^(1/4)-1)*100</f>
        <v>1.5008714176958371</v>
      </c>
      <c r="I118" s="20">
        <v>12</v>
      </c>
      <c r="J118" s="20">
        <v>14</v>
      </c>
      <c r="K118" s="20">
        <f>((1+15.39%)^(1/12)-1)*100</f>
        <v>1.200039289517818</v>
      </c>
      <c r="L118" s="1" t="s">
        <v>63</v>
      </c>
    </row>
    <row r="119" spans="1:13" x14ac:dyDescent="0.2">
      <c r="A119" s="388">
        <v>7</v>
      </c>
      <c r="B119" s="389">
        <v>0.12</v>
      </c>
      <c r="G119" s="400">
        <f>PV(G118/100,G117,G120,G121)</f>
        <v>-451587.68857386522</v>
      </c>
      <c r="H119" s="325">
        <f>PV(H118/100,H117,H120,H121)</f>
        <v>-357420.72578700737</v>
      </c>
      <c r="I119" s="325">
        <f>PV(I118/100,I117,I120,I121)</f>
        <v>-166545.80104479543</v>
      </c>
      <c r="J119" s="325">
        <f>PV(J118/100,J117,J120,J121)</f>
        <v>-134689.42334317704</v>
      </c>
      <c r="K119" s="325">
        <f>PV(K118/100,K117,K120,K121)</f>
        <v>-44456.469735769846</v>
      </c>
      <c r="L119" s="1" t="s">
        <v>64</v>
      </c>
      <c r="M119" s="1" t="s">
        <v>227</v>
      </c>
    </row>
    <row r="120" spans="1:13" x14ac:dyDescent="0.2">
      <c r="A120" s="388">
        <v>8</v>
      </c>
      <c r="B120" s="389">
        <v>0.12</v>
      </c>
      <c r="G120" s="20">
        <v>20000</v>
      </c>
      <c r="H120" s="20">
        <v>20000</v>
      </c>
      <c r="I120" s="20">
        <v>25000</v>
      </c>
      <c r="J120" s="20">
        <v>25000</v>
      </c>
      <c r="K120" s="20">
        <v>4000</v>
      </c>
      <c r="L120" s="1" t="s">
        <v>65</v>
      </c>
    </row>
    <row r="121" spans="1:13" x14ac:dyDescent="0.2">
      <c r="A121" s="388">
        <v>9</v>
      </c>
      <c r="B121" s="389">
        <v>0.12</v>
      </c>
      <c r="G121" s="30">
        <f>-H119</f>
        <v>357420.72578700737</v>
      </c>
      <c r="H121" s="30">
        <f>-I119</f>
        <v>166545.80104479543</v>
      </c>
      <c r="I121" s="30">
        <f>-J119</f>
        <v>134689.42334317704</v>
      </c>
      <c r="J121" s="20">
        <f>-(-44456.47)+60000</f>
        <v>104456.47</v>
      </c>
      <c r="K121" s="20">
        <v>0</v>
      </c>
      <c r="L121" s="1" t="s">
        <v>66</v>
      </c>
    </row>
    <row r="122" spans="1:13" ht="17" thickBot="1" x14ac:dyDescent="0.25">
      <c r="A122" s="390">
        <v>10</v>
      </c>
      <c r="B122" s="391">
        <v>0.12</v>
      </c>
    </row>
    <row r="123" spans="1:13" x14ac:dyDescent="0.2">
      <c r="A123" s="386">
        <v>11</v>
      </c>
      <c r="B123" s="387">
        <v>0.14000000000000001</v>
      </c>
      <c r="E123" s="18" t="s">
        <v>660</v>
      </c>
      <c r="F123" s="18"/>
      <c r="G123" s="18"/>
      <c r="H123" s="18"/>
    </row>
    <row r="124" spans="1:13" x14ac:dyDescent="0.2">
      <c r="A124" s="388">
        <v>12</v>
      </c>
      <c r="B124" s="389">
        <v>0.14000000000000001</v>
      </c>
      <c r="E124" s="18" t="s">
        <v>2961</v>
      </c>
      <c r="F124" s="18"/>
      <c r="G124" s="18"/>
      <c r="H124" s="401">
        <v>451587.69</v>
      </c>
    </row>
    <row r="125" spans="1:13" x14ac:dyDescent="0.2">
      <c r="A125" s="388">
        <v>13</v>
      </c>
      <c r="B125" s="389">
        <v>0.14000000000000001</v>
      </c>
    </row>
    <row r="126" spans="1:13" ht="17" thickBot="1" x14ac:dyDescent="0.25">
      <c r="A126" s="390">
        <v>14</v>
      </c>
      <c r="B126" s="391">
        <v>0.14000000000000001</v>
      </c>
    </row>
    <row r="127" spans="1:13" x14ac:dyDescent="0.2">
      <c r="A127" s="384">
        <v>15</v>
      </c>
      <c r="B127" s="385">
        <v>0.15389462000000001</v>
      </c>
    </row>
    <row r="129" spans="1:8" x14ac:dyDescent="0.2">
      <c r="A129" s="151" t="s">
        <v>2962</v>
      </c>
      <c r="B129" s="151"/>
      <c r="C129" s="151"/>
      <c r="D129" s="151"/>
      <c r="E129" s="151"/>
      <c r="F129" s="151"/>
      <c r="G129" s="151"/>
      <c r="H129" s="151"/>
    </row>
    <row r="131" spans="1:8" x14ac:dyDescent="0.2">
      <c r="A131" s="1" t="s">
        <v>2963</v>
      </c>
    </row>
    <row r="132" spans="1:8" x14ac:dyDescent="0.2">
      <c r="A132" s="1" t="s">
        <v>2964</v>
      </c>
    </row>
    <row r="133" spans="1:8" x14ac:dyDescent="0.2">
      <c r="A133" s="1" t="s">
        <v>2965</v>
      </c>
    </row>
    <row r="134" spans="1:8" x14ac:dyDescent="0.2">
      <c r="A134" s="1" t="s">
        <v>568</v>
      </c>
    </row>
    <row r="135" spans="1:8" x14ac:dyDescent="0.2">
      <c r="A135" s="1" t="s">
        <v>2966</v>
      </c>
    </row>
    <row r="136" spans="1:8" x14ac:dyDescent="0.2">
      <c r="A136" s="1" t="s">
        <v>2967</v>
      </c>
    </row>
    <row r="138" spans="1:8" x14ac:dyDescent="0.2">
      <c r="A138" s="18" t="s">
        <v>2968</v>
      </c>
    </row>
    <row r="140" spans="1:8" x14ac:dyDescent="0.2">
      <c r="A140" s="1" t="s">
        <v>2969</v>
      </c>
    </row>
    <row r="142" spans="1:8" x14ac:dyDescent="0.2">
      <c r="B142" s="1" t="s">
        <v>2970</v>
      </c>
      <c r="C142" s="1" t="s">
        <v>2971</v>
      </c>
    </row>
    <row r="144" spans="1:8" x14ac:dyDescent="0.2">
      <c r="B144" s="1" t="s">
        <v>2972</v>
      </c>
      <c r="C144" s="1" t="s">
        <v>2973</v>
      </c>
    </row>
    <row r="145" spans="1:8" x14ac:dyDescent="0.2">
      <c r="D145" s="20" t="s">
        <v>2974</v>
      </c>
      <c r="E145" s="1" t="s">
        <v>2975</v>
      </c>
    </row>
    <row r="146" spans="1:8" x14ac:dyDescent="0.2">
      <c r="D146" s="20" t="s">
        <v>2976</v>
      </c>
      <c r="E146" s="1" t="s">
        <v>2977</v>
      </c>
    </row>
    <row r="147" spans="1:8" x14ac:dyDescent="0.2">
      <c r="D147" s="20" t="s">
        <v>1174</v>
      </c>
      <c r="E147" s="1" t="s">
        <v>2978</v>
      </c>
    </row>
    <row r="149" spans="1:8" x14ac:dyDescent="0.2">
      <c r="A149" s="1" t="s">
        <v>2979</v>
      </c>
    </row>
    <row r="151" spans="1:8" x14ac:dyDescent="0.2">
      <c r="C151" s="1" t="s">
        <v>436</v>
      </c>
      <c r="G151" s="1" t="s">
        <v>60</v>
      </c>
    </row>
    <row r="152" spans="1:8" x14ac:dyDescent="0.2">
      <c r="B152" s="20">
        <f>4*12+3</f>
        <v>51</v>
      </c>
      <c r="C152" s="1" t="s">
        <v>437</v>
      </c>
      <c r="D152" s="1" t="s">
        <v>2987</v>
      </c>
      <c r="F152" s="20" t="s">
        <v>75</v>
      </c>
      <c r="G152" s="1" t="s">
        <v>111</v>
      </c>
    </row>
    <row r="153" spans="1:8" x14ac:dyDescent="0.2">
      <c r="B153" s="20">
        <f>4*12+3</f>
        <v>51</v>
      </c>
      <c r="C153" s="1" t="s">
        <v>438</v>
      </c>
      <c r="D153" s="1" t="s">
        <v>2987</v>
      </c>
      <c r="F153" s="20">
        <f>12*12</f>
        <v>144</v>
      </c>
      <c r="G153" s="1" t="s">
        <v>62</v>
      </c>
      <c r="H153" s="1" t="s">
        <v>2983</v>
      </c>
    </row>
    <row r="154" spans="1:8" x14ac:dyDescent="0.2">
      <c r="A154" s="1" t="s">
        <v>2985</v>
      </c>
      <c r="B154" s="20"/>
      <c r="C154" s="1" t="s">
        <v>2974</v>
      </c>
      <c r="F154" s="20">
        <f>((1+10%)^(1/12)-1)*100</f>
        <v>0.79741404289037643</v>
      </c>
      <c r="G154" s="1" t="s">
        <v>63</v>
      </c>
      <c r="H154" s="1" t="s">
        <v>2982</v>
      </c>
    </row>
    <row r="155" spans="1:8" x14ac:dyDescent="0.2">
      <c r="A155" s="1" t="s">
        <v>2984</v>
      </c>
      <c r="B155" s="20"/>
      <c r="C155" s="1" t="s">
        <v>2976</v>
      </c>
      <c r="F155" s="20">
        <v>500000</v>
      </c>
      <c r="G155" s="1" t="s">
        <v>64</v>
      </c>
      <c r="H155" s="1" t="s">
        <v>2980</v>
      </c>
    </row>
    <row r="156" spans="1:8" x14ac:dyDescent="0.2">
      <c r="A156" s="1" t="s">
        <v>2986</v>
      </c>
      <c r="B156" s="403">
        <f>PV(F154/100,F153-B152,F156)</f>
        <v>383230.8676724757</v>
      </c>
      <c r="C156" s="1" t="s">
        <v>1174</v>
      </c>
      <c r="D156" s="1" t="s">
        <v>227</v>
      </c>
      <c r="F156" s="402">
        <f>PMT(F154/100,F153,F155,F157)</f>
        <v>-5851.5564221057066</v>
      </c>
      <c r="G156" s="1" t="s">
        <v>65</v>
      </c>
      <c r="H156" s="1" t="s">
        <v>227</v>
      </c>
    </row>
    <row r="157" spans="1:8" x14ac:dyDescent="0.2">
      <c r="F157" s="20">
        <v>0</v>
      </c>
      <c r="G157" s="1" t="s">
        <v>66</v>
      </c>
      <c r="H157" s="1" t="s">
        <v>2981</v>
      </c>
    </row>
    <row r="160" spans="1:8" x14ac:dyDescent="0.2">
      <c r="A160" s="1" t="s">
        <v>2988</v>
      </c>
    </row>
    <row r="161" spans="1:9" x14ac:dyDescent="0.2">
      <c r="A161" s="1" t="s">
        <v>2989</v>
      </c>
    </row>
    <row r="162" spans="1:9" x14ac:dyDescent="0.2">
      <c r="A162" s="1" t="s">
        <v>2990</v>
      </c>
    </row>
    <row r="163" spans="1:9" x14ac:dyDescent="0.2">
      <c r="A163" s="1" t="s">
        <v>2991</v>
      </c>
    </row>
    <row r="165" spans="1:9" x14ac:dyDescent="0.2">
      <c r="A165" s="18" t="s">
        <v>2993</v>
      </c>
      <c r="B165" s="18"/>
      <c r="C165" s="18"/>
      <c r="D165" s="18"/>
      <c r="E165" s="18"/>
      <c r="F165" s="346">
        <f>B156*111.3/107</f>
        <v>398631.73431725742</v>
      </c>
      <c r="I165" s="1" t="s">
        <v>2992</v>
      </c>
    </row>
  </sheetData>
  <mergeCells count="2">
    <mergeCell ref="C12:E12"/>
    <mergeCell ref="C77:E77"/>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A94C15-724C-904B-9457-744898487E8B}">
  <dimension ref="A1:J305"/>
  <sheetViews>
    <sheetView rightToLeft="1" topLeftCell="A141" zoomScale="240" zoomScaleNormal="240" workbookViewId="0">
      <selection activeCell="H142" sqref="H142"/>
    </sheetView>
  </sheetViews>
  <sheetFormatPr baseColWidth="10" defaultRowHeight="16" x14ac:dyDescent="0.2"/>
  <cols>
    <col min="1" max="4" width="10.83203125" style="1"/>
    <col min="5" max="5" width="11.6640625" style="1" bestFit="1" customWidth="1"/>
    <col min="6" max="9" width="10.83203125" style="1"/>
    <col min="10" max="10" width="12.83203125" style="1" customWidth="1"/>
    <col min="11" max="16384" width="10.83203125" style="1"/>
  </cols>
  <sheetData>
    <row r="1" spans="1:10" x14ac:dyDescent="0.2">
      <c r="A1" s="457" t="s">
        <v>164</v>
      </c>
      <c r="B1" s="457"/>
      <c r="C1" s="457"/>
      <c r="D1" s="457"/>
      <c r="E1" s="457"/>
      <c r="F1" s="457"/>
      <c r="G1" s="457"/>
      <c r="H1" s="457"/>
      <c r="J1" s="1" t="s">
        <v>212</v>
      </c>
    </row>
    <row r="2" spans="1:10" x14ac:dyDescent="0.2">
      <c r="H2" s="4">
        <v>45883</v>
      </c>
      <c r="J2" s="1" t="s">
        <v>213</v>
      </c>
    </row>
    <row r="3" spans="1:10" x14ac:dyDescent="0.2">
      <c r="A3" s="2" t="s">
        <v>165</v>
      </c>
      <c r="B3" s="2"/>
      <c r="C3" s="2"/>
      <c r="D3" s="2"/>
      <c r="E3" s="2"/>
      <c r="F3" s="2"/>
      <c r="G3" s="2"/>
      <c r="H3" s="2"/>
      <c r="J3" s="1" t="s">
        <v>214</v>
      </c>
    </row>
    <row r="4" spans="1:10" x14ac:dyDescent="0.2">
      <c r="A4" s="1" t="s">
        <v>166</v>
      </c>
      <c r="J4" s="1" t="s">
        <v>215</v>
      </c>
    </row>
    <row r="5" spans="1:10" x14ac:dyDescent="0.2">
      <c r="A5" s="1" t="s">
        <v>167</v>
      </c>
      <c r="J5" s="1" t="s">
        <v>216</v>
      </c>
    </row>
    <row r="6" spans="1:10" x14ac:dyDescent="0.2">
      <c r="A6" s="1" t="s">
        <v>168</v>
      </c>
      <c r="J6" s="1" t="s">
        <v>217</v>
      </c>
    </row>
    <row r="8" spans="1:10" x14ac:dyDescent="0.2">
      <c r="A8" s="1" t="s">
        <v>191</v>
      </c>
      <c r="B8" s="1" t="s">
        <v>192</v>
      </c>
    </row>
    <row r="9" spans="1:10" x14ac:dyDescent="0.2">
      <c r="B9" s="1" t="s">
        <v>193</v>
      </c>
    </row>
    <row r="10" spans="1:10" x14ac:dyDescent="0.2">
      <c r="B10" s="1" t="s">
        <v>194</v>
      </c>
    </row>
    <row r="12" spans="1:10" x14ac:dyDescent="0.2">
      <c r="A12" s="2" t="s">
        <v>195</v>
      </c>
      <c r="B12" s="2"/>
      <c r="C12" s="2"/>
      <c r="D12" s="2"/>
      <c r="E12" s="2"/>
      <c r="F12" s="2"/>
      <c r="G12" s="2"/>
      <c r="H12" s="2"/>
    </row>
    <row r="13" spans="1:10" x14ac:dyDescent="0.2">
      <c r="A13" s="1" t="s">
        <v>196</v>
      </c>
    </row>
    <row r="14" spans="1:10" x14ac:dyDescent="0.2">
      <c r="A14" s="1" t="s">
        <v>197</v>
      </c>
    </row>
    <row r="16" spans="1:10" x14ac:dyDescent="0.2">
      <c r="A16" s="1" t="s">
        <v>191</v>
      </c>
      <c r="B16" s="1" t="s">
        <v>198</v>
      </c>
    </row>
    <row r="17" spans="1:8" x14ac:dyDescent="0.2">
      <c r="B17" s="1" t="s">
        <v>199</v>
      </c>
    </row>
    <row r="18" spans="1:8" x14ac:dyDescent="0.2">
      <c r="B18" s="1" t="s">
        <v>200</v>
      </c>
    </row>
    <row r="20" spans="1:8" x14ac:dyDescent="0.2">
      <c r="A20" s="1" t="s">
        <v>201</v>
      </c>
    </row>
    <row r="22" spans="1:8" x14ac:dyDescent="0.2">
      <c r="A22" s="5" t="s">
        <v>179</v>
      </c>
      <c r="B22" s="5"/>
      <c r="C22" s="5"/>
      <c r="D22" s="5"/>
      <c r="E22" s="5"/>
      <c r="F22" s="5"/>
      <c r="G22" s="5"/>
      <c r="H22" s="40" t="s">
        <v>180</v>
      </c>
    </row>
    <row r="23" spans="1:8" x14ac:dyDescent="0.2">
      <c r="A23" s="1" t="s">
        <v>169</v>
      </c>
    </row>
    <row r="24" spans="1:8" x14ac:dyDescent="0.2">
      <c r="G24" s="406" t="s">
        <v>3018</v>
      </c>
    </row>
    <row r="25" spans="1:8" x14ac:dyDescent="0.2">
      <c r="A25" s="11" t="s">
        <v>170</v>
      </c>
      <c r="B25" s="11" t="s">
        <v>175</v>
      </c>
      <c r="C25" s="11" t="s">
        <v>176</v>
      </c>
      <c r="D25" s="11" t="s">
        <v>177</v>
      </c>
      <c r="G25" s="408" t="s">
        <v>3019</v>
      </c>
      <c r="H25" s="408"/>
    </row>
    <row r="26" spans="1:8" x14ac:dyDescent="0.2">
      <c r="A26" s="11" t="s">
        <v>171</v>
      </c>
      <c r="B26" s="38">
        <v>4000</v>
      </c>
      <c r="C26" s="11">
        <v>7</v>
      </c>
      <c r="D26" s="39">
        <v>0.04</v>
      </c>
      <c r="G26" s="408"/>
      <c r="H26" s="408" t="s">
        <v>3020</v>
      </c>
    </row>
    <row r="27" spans="1:8" x14ac:dyDescent="0.2">
      <c r="A27" s="11" t="s">
        <v>172</v>
      </c>
      <c r="B27" s="38">
        <v>5000</v>
      </c>
      <c r="C27" s="11">
        <v>12</v>
      </c>
      <c r="D27" s="39">
        <v>0.12</v>
      </c>
    </row>
    <row r="28" spans="1:8" x14ac:dyDescent="0.2">
      <c r="A28" s="11" t="s">
        <v>173</v>
      </c>
      <c r="B28" s="38">
        <v>7000</v>
      </c>
      <c r="C28" s="11">
        <v>17</v>
      </c>
      <c r="D28" s="39">
        <v>0.09</v>
      </c>
    </row>
    <row r="29" spans="1:8" x14ac:dyDescent="0.2">
      <c r="A29" s="11" t="s">
        <v>174</v>
      </c>
      <c r="B29" s="38">
        <v>12000</v>
      </c>
      <c r="C29" s="11">
        <v>9</v>
      </c>
      <c r="D29" s="39">
        <v>0.05</v>
      </c>
    </row>
    <row r="31" spans="1:8" x14ac:dyDescent="0.2">
      <c r="A31" s="406" t="s">
        <v>3017</v>
      </c>
    </row>
    <row r="32" spans="1:8" x14ac:dyDescent="0.2">
      <c r="A32" s="1" t="s">
        <v>178</v>
      </c>
    </row>
    <row r="34" spans="1:10" x14ac:dyDescent="0.2">
      <c r="A34" s="1" t="s">
        <v>146</v>
      </c>
    </row>
    <row r="36" spans="1:10" x14ac:dyDescent="0.2">
      <c r="A36" s="408" t="s">
        <v>218</v>
      </c>
      <c r="B36" s="408"/>
      <c r="C36" s="408"/>
      <c r="D36" s="408"/>
      <c r="E36" s="408"/>
      <c r="F36" s="408"/>
      <c r="G36" s="408"/>
      <c r="H36" s="408"/>
    </row>
    <row r="37" spans="1:10" x14ac:dyDescent="0.2">
      <c r="A37" s="408" t="s">
        <v>219</v>
      </c>
      <c r="B37" s="408"/>
      <c r="C37" s="408"/>
      <c r="D37" s="408"/>
      <c r="E37" s="408"/>
      <c r="F37" s="408"/>
      <c r="G37" s="408"/>
      <c r="H37" s="408"/>
    </row>
    <row r="38" spans="1:10" x14ac:dyDescent="0.2">
      <c r="A38" s="1" t="s">
        <v>220</v>
      </c>
    </row>
    <row r="39" spans="1:10" x14ac:dyDescent="0.2">
      <c r="A39" s="1" t="s">
        <v>221</v>
      </c>
    </row>
    <row r="40" spans="1:10" ht="17" thickBot="1" x14ac:dyDescent="0.25">
      <c r="A40" s="1" t="s">
        <v>222</v>
      </c>
      <c r="F40" s="406" t="s">
        <v>3021</v>
      </c>
      <c r="I40" s="406" t="s">
        <v>3022</v>
      </c>
    </row>
    <row r="41" spans="1:10" ht="17" thickBot="1" x14ac:dyDescent="0.25">
      <c r="J41" s="43" t="s">
        <v>230</v>
      </c>
    </row>
    <row r="42" spans="1:10" ht="17" thickBot="1" x14ac:dyDescent="0.25">
      <c r="B42" s="42" t="s">
        <v>174</v>
      </c>
      <c r="C42" s="42" t="s">
        <v>173</v>
      </c>
      <c r="D42" s="42" t="s">
        <v>172</v>
      </c>
      <c r="E42" s="42" t="s">
        <v>171</v>
      </c>
      <c r="F42" s="1" t="s">
        <v>60</v>
      </c>
      <c r="J42" s="44" t="s">
        <v>231</v>
      </c>
    </row>
    <row r="43" spans="1:10" x14ac:dyDescent="0.2">
      <c r="B43" s="20" t="s">
        <v>75</v>
      </c>
      <c r="C43" s="20" t="s">
        <v>75</v>
      </c>
      <c r="D43" s="20" t="s">
        <v>75</v>
      </c>
      <c r="E43" s="20" t="s">
        <v>75</v>
      </c>
      <c r="F43" s="1" t="s">
        <v>111</v>
      </c>
      <c r="J43" s="44" t="s">
        <v>232</v>
      </c>
    </row>
    <row r="44" spans="1:10" x14ac:dyDescent="0.2">
      <c r="B44" s="20">
        <v>9</v>
      </c>
      <c r="C44" s="20">
        <v>17</v>
      </c>
      <c r="D44" s="20">
        <v>12</v>
      </c>
      <c r="E44" s="20">
        <v>7</v>
      </c>
      <c r="F44" s="1" t="s">
        <v>62</v>
      </c>
      <c r="G44" s="1" t="s">
        <v>223</v>
      </c>
      <c r="J44" s="44" t="s">
        <v>233</v>
      </c>
    </row>
    <row r="45" spans="1:10" x14ac:dyDescent="0.2">
      <c r="B45" s="20">
        <v>5</v>
      </c>
      <c r="C45" s="20">
        <v>9</v>
      </c>
      <c r="D45" s="20">
        <v>12</v>
      </c>
      <c r="E45" s="20">
        <v>4</v>
      </c>
      <c r="F45" s="1" t="s">
        <v>63</v>
      </c>
      <c r="G45" s="1" t="s">
        <v>224</v>
      </c>
      <c r="J45" s="44" t="s">
        <v>234</v>
      </c>
    </row>
    <row r="46" spans="1:10" x14ac:dyDescent="0.2">
      <c r="B46" s="20">
        <v>0</v>
      </c>
      <c r="C46" s="20">
        <v>0</v>
      </c>
      <c r="D46" s="20">
        <v>0</v>
      </c>
      <c r="E46" s="20">
        <v>0</v>
      </c>
      <c r="F46" s="1" t="s">
        <v>64</v>
      </c>
      <c r="G46" s="1" t="s">
        <v>226</v>
      </c>
      <c r="J46" s="44" t="s">
        <v>235</v>
      </c>
    </row>
    <row r="47" spans="1:10" ht="17" thickBot="1" x14ac:dyDescent="0.25">
      <c r="B47" s="20">
        <v>-12000</v>
      </c>
      <c r="C47" s="20">
        <v>-7000</v>
      </c>
      <c r="D47" s="20">
        <v>-5000</v>
      </c>
      <c r="E47" s="20">
        <v>-4000</v>
      </c>
      <c r="F47" s="1" t="s">
        <v>65</v>
      </c>
      <c r="G47" s="1" t="s">
        <v>225</v>
      </c>
      <c r="J47" s="44" t="s">
        <v>236</v>
      </c>
    </row>
    <row r="48" spans="1:10" ht="17" thickBot="1" x14ac:dyDescent="0.25">
      <c r="B48" s="41">
        <f t="shared" ref="B48:D48" si="0">FV(B45/100,B44,B47,B46)</f>
        <v>132318.77183484379</v>
      </c>
      <c r="C48" s="41">
        <f t="shared" si="0"/>
        <v>258815.93191648024</v>
      </c>
      <c r="D48" s="41">
        <f t="shared" si="0"/>
        <v>120665.66635612413</v>
      </c>
      <c r="E48" s="41">
        <f>FV(E45/100,E44,E47,E46)</f>
        <v>31593.177923584026</v>
      </c>
      <c r="F48" s="1" t="s">
        <v>66</v>
      </c>
      <c r="G48" s="1" t="s">
        <v>227</v>
      </c>
      <c r="J48" s="44" t="s">
        <v>237</v>
      </c>
    </row>
    <row r="49" spans="1:10" x14ac:dyDescent="0.2">
      <c r="J49" s="44" t="s">
        <v>241</v>
      </c>
    </row>
    <row r="50" spans="1:10" x14ac:dyDescent="0.2">
      <c r="J50" s="44" t="s">
        <v>238</v>
      </c>
    </row>
    <row r="51" spans="1:10" x14ac:dyDescent="0.2">
      <c r="A51" s="1" t="s">
        <v>228</v>
      </c>
      <c r="J51" s="44" t="s">
        <v>240</v>
      </c>
    </row>
    <row r="52" spans="1:10" ht="17" thickBot="1" x14ac:dyDescent="0.25">
      <c r="J52" s="45" t="s">
        <v>239</v>
      </c>
    </row>
    <row r="54" spans="1:10" x14ac:dyDescent="0.2">
      <c r="A54" s="1" t="s">
        <v>229</v>
      </c>
    </row>
    <row r="58" spans="1:10" x14ac:dyDescent="0.2">
      <c r="A58" s="5" t="s">
        <v>186</v>
      </c>
      <c r="B58" s="5"/>
      <c r="C58" s="5"/>
      <c r="D58" s="5"/>
      <c r="E58" s="5"/>
      <c r="F58" s="5"/>
      <c r="G58" s="5"/>
      <c r="H58" s="40" t="s">
        <v>187</v>
      </c>
    </row>
    <row r="59" spans="1:10" x14ac:dyDescent="0.2">
      <c r="A59" s="1" t="s">
        <v>188</v>
      </c>
    </row>
    <row r="61" spans="1:10" x14ac:dyDescent="0.2">
      <c r="A61" s="11" t="s">
        <v>170</v>
      </c>
      <c r="B61" s="11" t="s">
        <v>175</v>
      </c>
      <c r="C61" s="11" t="s">
        <v>176</v>
      </c>
      <c r="D61" s="11" t="s">
        <v>177</v>
      </c>
    </row>
    <row r="62" spans="1:10" x14ac:dyDescent="0.2">
      <c r="A62" s="11" t="s">
        <v>171</v>
      </c>
      <c r="B62" s="38">
        <v>500</v>
      </c>
      <c r="C62" s="11">
        <v>3</v>
      </c>
      <c r="D62" s="39">
        <v>0.05</v>
      </c>
    </row>
    <row r="63" spans="1:10" x14ac:dyDescent="0.2">
      <c r="A63" s="11" t="s">
        <v>172</v>
      </c>
      <c r="B63" s="38">
        <v>800</v>
      </c>
      <c r="C63" s="11">
        <v>9</v>
      </c>
      <c r="D63" s="39">
        <v>0.06</v>
      </c>
    </row>
    <row r="64" spans="1:10" x14ac:dyDescent="0.2">
      <c r="A64" s="11" t="s">
        <v>173</v>
      </c>
      <c r="B64" s="38">
        <v>1000</v>
      </c>
      <c r="C64" s="11">
        <v>4</v>
      </c>
      <c r="D64" s="39">
        <v>0.03</v>
      </c>
    </row>
    <row r="65" spans="1:8" x14ac:dyDescent="0.2">
      <c r="A65" s="11" t="s">
        <v>174</v>
      </c>
      <c r="B65" s="38">
        <v>900</v>
      </c>
      <c r="C65" s="11">
        <v>6</v>
      </c>
      <c r="D65" s="39">
        <v>0.02</v>
      </c>
    </row>
    <row r="67" spans="1:8" x14ac:dyDescent="0.2">
      <c r="A67" s="1" t="s">
        <v>189</v>
      </c>
    </row>
    <row r="68" spans="1:8" x14ac:dyDescent="0.2">
      <c r="A68" s="1" t="s">
        <v>190</v>
      </c>
    </row>
    <row r="69" spans="1:8" x14ac:dyDescent="0.2">
      <c r="F69" s="116"/>
      <c r="G69" s="116"/>
      <c r="H69" s="116"/>
    </row>
    <row r="70" spans="1:8" x14ac:dyDescent="0.2">
      <c r="E70" s="409" t="s">
        <v>244</v>
      </c>
      <c r="F70" s="409" t="s">
        <v>243</v>
      </c>
      <c r="G70" s="116" t="s">
        <v>60</v>
      </c>
      <c r="H70" s="116"/>
    </row>
    <row r="71" spans="1:8" x14ac:dyDescent="0.2">
      <c r="E71" s="409" t="s">
        <v>75</v>
      </c>
      <c r="F71" s="409" t="s">
        <v>75</v>
      </c>
      <c r="G71" s="116" t="s">
        <v>111</v>
      </c>
      <c r="H71" s="116"/>
    </row>
    <row r="72" spans="1:8" x14ac:dyDescent="0.2">
      <c r="E72" s="409">
        <v>6</v>
      </c>
      <c r="F72" s="409">
        <v>3</v>
      </c>
      <c r="G72" s="116" t="s">
        <v>62</v>
      </c>
      <c r="H72" s="116"/>
    </row>
    <row r="73" spans="1:8" x14ac:dyDescent="0.2">
      <c r="E73" s="409">
        <f>F73</f>
        <v>5</v>
      </c>
      <c r="F73" s="409">
        <v>5</v>
      </c>
      <c r="G73" s="116" t="s">
        <v>63</v>
      </c>
      <c r="H73" s="116"/>
    </row>
    <row r="74" spans="1:8" x14ac:dyDescent="0.2">
      <c r="E74" s="421">
        <f>-F76</f>
        <v>-1576.2500000000014</v>
      </c>
      <c r="F74" s="409">
        <v>0</v>
      </c>
      <c r="G74" s="116" t="s">
        <v>64</v>
      </c>
      <c r="H74" s="116"/>
    </row>
    <row r="75" spans="1:8" ht="17" thickBot="1" x14ac:dyDescent="0.25">
      <c r="E75" s="409">
        <v>0</v>
      </c>
      <c r="F75" s="409">
        <v>-500</v>
      </c>
      <c r="G75" s="116" t="s">
        <v>65</v>
      </c>
      <c r="H75" s="116"/>
    </row>
    <row r="76" spans="1:8" ht="17" thickBot="1" x14ac:dyDescent="0.25">
      <c r="E76" s="422">
        <f>FV(E73/100,E72,E75,E74)</f>
        <v>2112.3257535351581</v>
      </c>
      <c r="F76" s="420">
        <f>FV(F73/100,F72,F75,F74)</f>
        <v>1576.2500000000014</v>
      </c>
      <c r="G76" s="116" t="s">
        <v>66</v>
      </c>
      <c r="H76" s="116" t="s">
        <v>77</v>
      </c>
    </row>
    <row r="77" spans="1:8" x14ac:dyDescent="0.2">
      <c r="E77" s="219" t="s">
        <v>245</v>
      </c>
      <c r="F77" s="218" t="s">
        <v>242</v>
      </c>
      <c r="G77" s="115"/>
    </row>
    <row r="79" spans="1:8" x14ac:dyDescent="0.2">
      <c r="C79" s="1" t="s">
        <v>246</v>
      </c>
      <c r="D79" s="423">
        <f>E76</f>
        <v>2112.3257535351581</v>
      </c>
      <c r="F79" s="406" t="s">
        <v>247</v>
      </c>
      <c r="G79" s="1" t="s">
        <v>248</v>
      </c>
    </row>
    <row r="84" spans="1:7" x14ac:dyDescent="0.2">
      <c r="D84" s="32">
        <f>D79</f>
        <v>2112.3257535351581</v>
      </c>
    </row>
    <row r="87" spans="1:7" x14ac:dyDescent="0.2">
      <c r="E87" s="1" t="s">
        <v>251</v>
      </c>
      <c r="G87" s="1" t="s">
        <v>249</v>
      </c>
    </row>
    <row r="88" spans="1:7" x14ac:dyDescent="0.2">
      <c r="E88" s="1" t="s">
        <v>252</v>
      </c>
      <c r="G88" s="1" t="s">
        <v>250</v>
      </c>
    </row>
    <row r="90" spans="1:7" x14ac:dyDescent="0.2">
      <c r="A90" s="1" t="s">
        <v>255</v>
      </c>
      <c r="F90" s="20" t="s">
        <v>253</v>
      </c>
      <c r="G90" s="1" t="s">
        <v>60</v>
      </c>
    </row>
    <row r="91" spans="1:7" x14ac:dyDescent="0.2">
      <c r="A91" s="1" t="s">
        <v>256</v>
      </c>
      <c r="F91" s="20" t="s">
        <v>75</v>
      </c>
      <c r="G91" s="1" t="s">
        <v>111</v>
      </c>
    </row>
    <row r="92" spans="1:7" x14ac:dyDescent="0.2">
      <c r="A92" s="1" t="s">
        <v>257</v>
      </c>
      <c r="F92" s="20">
        <v>9</v>
      </c>
      <c r="G92" s="1" t="s">
        <v>62</v>
      </c>
    </row>
    <row r="93" spans="1:7" x14ac:dyDescent="0.2">
      <c r="A93" s="1" t="s">
        <v>258</v>
      </c>
      <c r="F93" s="20">
        <v>6</v>
      </c>
      <c r="G93" s="1" t="s">
        <v>63</v>
      </c>
    </row>
    <row r="94" spans="1:7" x14ac:dyDescent="0.2">
      <c r="F94" s="20">
        <v>0</v>
      </c>
      <c r="G94" s="1" t="s">
        <v>64</v>
      </c>
    </row>
    <row r="95" spans="1:7" ht="17" thickBot="1" x14ac:dyDescent="0.25">
      <c r="F95" s="20">
        <v>-800</v>
      </c>
      <c r="G95" s="1" t="s">
        <v>65</v>
      </c>
    </row>
    <row r="96" spans="1:7" ht="17" thickBot="1" x14ac:dyDescent="0.25">
      <c r="F96" s="41">
        <f>FV(F93/100,F92,F95,F94)</f>
        <v>9193.0527867025721</v>
      </c>
      <c r="G96" s="1" t="s">
        <v>66</v>
      </c>
    </row>
    <row r="97" spans="1:8" x14ac:dyDescent="0.2">
      <c r="F97" s="20" t="s">
        <v>254</v>
      </c>
    </row>
    <row r="98" spans="1:8" x14ac:dyDescent="0.2">
      <c r="F98" s="1" t="s">
        <v>259</v>
      </c>
    </row>
    <row r="100" spans="1:8" x14ac:dyDescent="0.2">
      <c r="A100" s="20" t="s">
        <v>263</v>
      </c>
      <c r="B100" s="20" t="s">
        <v>262</v>
      </c>
      <c r="C100" s="1" t="s">
        <v>60</v>
      </c>
      <c r="F100" s="20" t="s">
        <v>260</v>
      </c>
      <c r="G100" s="20" t="s">
        <v>261</v>
      </c>
      <c r="H100" s="1" t="s">
        <v>60</v>
      </c>
    </row>
    <row r="101" spans="1:8" x14ac:dyDescent="0.2">
      <c r="A101" s="20" t="s">
        <v>75</v>
      </c>
      <c r="B101" s="20" t="s">
        <v>75</v>
      </c>
      <c r="C101" s="1" t="s">
        <v>111</v>
      </c>
      <c r="F101" s="20" t="s">
        <v>75</v>
      </c>
      <c r="G101" s="20" t="s">
        <v>75</v>
      </c>
      <c r="H101" s="1" t="s">
        <v>111</v>
      </c>
    </row>
    <row r="102" spans="1:8" x14ac:dyDescent="0.2">
      <c r="A102" s="20">
        <v>3</v>
      </c>
      <c r="B102" s="20">
        <v>6</v>
      </c>
      <c r="C102" s="1" t="s">
        <v>62</v>
      </c>
      <c r="F102" s="20">
        <v>5</v>
      </c>
      <c r="G102" s="20">
        <v>4</v>
      </c>
      <c r="H102" s="1" t="s">
        <v>62</v>
      </c>
    </row>
    <row r="103" spans="1:8" x14ac:dyDescent="0.2">
      <c r="A103" s="20">
        <v>2</v>
      </c>
      <c r="B103" s="20">
        <v>2</v>
      </c>
      <c r="C103" s="1" t="s">
        <v>63</v>
      </c>
      <c r="F103" s="20">
        <v>3</v>
      </c>
      <c r="G103" s="20">
        <v>3</v>
      </c>
      <c r="H103" s="1" t="s">
        <v>63</v>
      </c>
    </row>
    <row r="104" spans="1:8" x14ac:dyDescent="0.2">
      <c r="A104" s="30">
        <f>-B106</f>
        <v>-5677.3088668800028</v>
      </c>
      <c r="B104" s="20">
        <v>0</v>
      </c>
      <c r="C104" s="1" t="s">
        <v>64</v>
      </c>
      <c r="F104" s="30">
        <f>-G106</f>
        <v>-4183.6269999999977</v>
      </c>
      <c r="G104" s="20">
        <v>0</v>
      </c>
      <c r="H104" s="1" t="s">
        <v>64</v>
      </c>
    </row>
    <row r="105" spans="1:8" ht="17" thickBot="1" x14ac:dyDescent="0.25">
      <c r="A105" s="20">
        <v>0</v>
      </c>
      <c r="B105" s="20">
        <v>-900</v>
      </c>
      <c r="C105" s="1" t="s">
        <v>65</v>
      </c>
      <c r="F105" s="20">
        <v>0</v>
      </c>
      <c r="G105" s="20">
        <v>-1000</v>
      </c>
      <c r="H105" s="1" t="s">
        <v>65</v>
      </c>
    </row>
    <row r="106" spans="1:8" ht="17" thickBot="1" x14ac:dyDescent="0.25">
      <c r="A106" s="41">
        <f>FV(A103/100,A102,A105,A104)</f>
        <v>6024.8055880039938</v>
      </c>
      <c r="B106" s="41">
        <f>FV(B103/100,B102,B105,B104)</f>
        <v>5677.3088668800028</v>
      </c>
      <c r="C106" s="1" t="s">
        <v>66</v>
      </c>
      <c r="F106" s="41">
        <f>FV(F103/100,F102,F105,F104)</f>
        <v>4849.9703176414823</v>
      </c>
      <c r="G106" s="41">
        <f>FV(G103/100,G102,G105,G104)</f>
        <v>4183.6269999999977</v>
      </c>
      <c r="H106" s="1" t="s">
        <v>66</v>
      </c>
    </row>
    <row r="107" spans="1:8" x14ac:dyDescent="0.2">
      <c r="A107" s="20" t="s">
        <v>265</v>
      </c>
      <c r="F107" s="20" t="s">
        <v>264</v>
      </c>
    </row>
    <row r="108" spans="1:8" x14ac:dyDescent="0.2">
      <c r="A108" s="20" t="s">
        <v>252</v>
      </c>
      <c r="F108" s="20" t="s">
        <v>252</v>
      </c>
    </row>
    <row r="111" spans="1:8" x14ac:dyDescent="0.2">
      <c r="A111" s="5" t="s">
        <v>202</v>
      </c>
      <c r="B111" s="5"/>
      <c r="C111" s="5"/>
      <c r="D111" s="5"/>
      <c r="E111" s="5"/>
      <c r="F111" s="5"/>
      <c r="G111" s="5"/>
      <c r="H111" s="40" t="s">
        <v>181</v>
      </c>
    </row>
    <row r="112" spans="1:8" x14ac:dyDescent="0.2">
      <c r="A112" s="1" t="s">
        <v>182</v>
      </c>
    </row>
    <row r="114" spans="1:4" x14ac:dyDescent="0.2">
      <c r="A114" s="11" t="s">
        <v>170</v>
      </c>
      <c r="B114" s="11" t="s">
        <v>175</v>
      </c>
      <c r="C114" s="11" t="s">
        <v>176</v>
      </c>
      <c r="D114" s="11" t="s">
        <v>177</v>
      </c>
    </row>
    <row r="115" spans="1:4" x14ac:dyDescent="0.2">
      <c r="A115" s="11" t="s">
        <v>171</v>
      </c>
      <c r="B115" s="38">
        <v>4000</v>
      </c>
      <c r="C115" s="11">
        <v>5</v>
      </c>
      <c r="D115" s="39">
        <v>0.09</v>
      </c>
    </row>
    <row r="116" spans="1:4" x14ac:dyDescent="0.2">
      <c r="A116" s="11" t="s">
        <v>172</v>
      </c>
      <c r="B116" s="38">
        <v>5000</v>
      </c>
      <c r="C116" s="11">
        <v>3</v>
      </c>
      <c r="D116" s="39">
        <v>7.0000000000000007E-2</v>
      </c>
    </row>
    <row r="117" spans="1:4" x14ac:dyDescent="0.2">
      <c r="A117" s="11" t="s">
        <v>173</v>
      </c>
      <c r="B117" s="38">
        <v>7000</v>
      </c>
      <c r="C117" s="11">
        <v>7</v>
      </c>
      <c r="D117" s="39">
        <v>0.11</v>
      </c>
    </row>
    <row r="118" spans="1:4" x14ac:dyDescent="0.2">
      <c r="A118" s="11" t="s">
        <v>174</v>
      </c>
      <c r="B118" s="38">
        <v>12000</v>
      </c>
      <c r="C118" s="11">
        <v>12</v>
      </c>
      <c r="D118" s="39">
        <v>0.05</v>
      </c>
    </row>
    <row r="120" spans="1:4" x14ac:dyDescent="0.2">
      <c r="A120" s="406" t="s">
        <v>3023</v>
      </c>
    </row>
    <row r="121" spans="1:4" x14ac:dyDescent="0.2">
      <c r="A121" s="1" t="s">
        <v>183</v>
      </c>
    </row>
    <row r="122" spans="1:4" x14ac:dyDescent="0.2">
      <c r="A122" s="1" t="s">
        <v>184</v>
      </c>
    </row>
    <row r="123" spans="1:4" x14ac:dyDescent="0.2">
      <c r="A123" s="1" t="s">
        <v>185</v>
      </c>
    </row>
    <row r="125" spans="1:4" x14ac:dyDescent="0.2">
      <c r="A125" s="1" t="s">
        <v>146</v>
      </c>
    </row>
    <row r="126" spans="1:4" x14ac:dyDescent="0.2">
      <c r="A126" s="1" t="s">
        <v>266</v>
      </c>
    </row>
    <row r="127" spans="1:4" x14ac:dyDescent="0.2">
      <c r="A127" s="1" t="s">
        <v>267</v>
      </c>
    </row>
    <row r="129" spans="1:7" x14ac:dyDescent="0.2">
      <c r="C129" s="20">
        <v>5</v>
      </c>
      <c r="D129" s="20"/>
      <c r="E129" s="20"/>
      <c r="F129" s="20">
        <v>1</v>
      </c>
      <c r="G129" s="20">
        <v>0</v>
      </c>
    </row>
    <row r="130" spans="1:7" x14ac:dyDescent="0.2">
      <c r="A130" s="1" t="s">
        <v>268</v>
      </c>
      <c r="C130" s="20"/>
      <c r="D130" s="20"/>
      <c r="E130" s="20"/>
      <c r="F130" s="20"/>
      <c r="G130" s="20"/>
    </row>
    <row r="131" spans="1:7" x14ac:dyDescent="0.2">
      <c r="C131" s="20"/>
      <c r="D131" s="20"/>
      <c r="E131" s="20"/>
      <c r="F131" s="20"/>
      <c r="G131" s="20"/>
    </row>
    <row r="132" spans="1:7" x14ac:dyDescent="0.2">
      <c r="C132" s="20"/>
      <c r="D132" s="20"/>
      <c r="E132" s="20"/>
      <c r="F132" s="20"/>
      <c r="G132" s="20"/>
    </row>
    <row r="133" spans="1:7" x14ac:dyDescent="0.2">
      <c r="A133" s="1" t="s">
        <v>269</v>
      </c>
      <c r="C133" s="20">
        <v>5</v>
      </c>
      <c r="D133" s="20">
        <v>4</v>
      </c>
      <c r="E133" s="20"/>
      <c r="F133" s="20">
        <v>1</v>
      </c>
      <c r="G133" s="20">
        <v>0</v>
      </c>
    </row>
    <row r="134" spans="1:7" x14ac:dyDescent="0.2">
      <c r="C134" s="20"/>
      <c r="D134" s="20"/>
      <c r="E134" s="20"/>
      <c r="F134" s="20"/>
      <c r="G134" s="20"/>
    </row>
    <row r="135" spans="1:7" x14ac:dyDescent="0.2">
      <c r="C135" s="20" t="s">
        <v>270</v>
      </c>
      <c r="D135" s="20"/>
      <c r="E135" s="20"/>
      <c r="F135" s="20"/>
      <c r="G135" s="20"/>
    </row>
    <row r="137" spans="1:7" x14ac:dyDescent="0.2">
      <c r="A137" s="1" t="s">
        <v>273</v>
      </c>
      <c r="E137" s="425" t="s">
        <v>272</v>
      </c>
      <c r="F137" s="27" t="s">
        <v>271</v>
      </c>
      <c r="G137" s="10" t="s">
        <v>60</v>
      </c>
    </row>
    <row r="138" spans="1:7" x14ac:dyDescent="0.2">
      <c r="A138" s="1" t="s">
        <v>274</v>
      </c>
      <c r="E138" s="409" t="s">
        <v>75</v>
      </c>
      <c r="F138" s="409" t="s">
        <v>75</v>
      </c>
      <c r="G138" s="1" t="s">
        <v>111</v>
      </c>
    </row>
    <row r="139" spans="1:7" x14ac:dyDescent="0.2">
      <c r="A139" s="1" t="s">
        <v>275</v>
      </c>
      <c r="E139" s="409">
        <v>1</v>
      </c>
      <c r="F139" s="409">
        <v>5</v>
      </c>
      <c r="G139" s="1" t="s">
        <v>62</v>
      </c>
    </row>
    <row r="140" spans="1:7" x14ac:dyDescent="0.2">
      <c r="A140" s="1" t="s">
        <v>276</v>
      </c>
      <c r="E140" s="409">
        <v>9</v>
      </c>
      <c r="F140" s="409">
        <v>9</v>
      </c>
      <c r="G140" s="1" t="s">
        <v>63</v>
      </c>
    </row>
    <row r="141" spans="1:7" x14ac:dyDescent="0.2">
      <c r="A141" s="1" t="s">
        <v>277</v>
      </c>
      <c r="E141" s="421">
        <f>-F143</f>
        <v>-23938.842440000022</v>
      </c>
      <c r="F141" s="409">
        <v>0</v>
      </c>
      <c r="G141" s="1" t="s">
        <v>64</v>
      </c>
    </row>
    <row r="142" spans="1:7" ht="17" thickBot="1" x14ac:dyDescent="0.25">
      <c r="E142" s="409">
        <v>0</v>
      </c>
      <c r="F142" s="409">
        <v>-4000</v>
      </c>
      <c r="G142" s="1" t="s">
        <v>65</v>
      </c>
    </row>
    <row r="143" spans="1:7" ht="17" thickBot="1" x14ac:dyDescent="0.25">
      <c r="E143" s="420">
        <f>FV(E140/100,E139,E142,E141)</f>
        <v>26093.338259600027</v>
      </c>
      <c r="F143" s="420">
        <f>FV(F140/100,F139,F142,F141)</f>
        <v>23938.842440000022</v>
      </c>
      <c r="G143" s="1" t="s">
        <v>66</v>
      </c>
    </row>
    <row r="144" spans="1:7" x14ac:dyDescent="0.2">
      <c r="E144" s="419" t="s">
        <v>245</v>
      </c>
      <c r="F144" s="424"/>
    </row>
    <row r="146" spans="1:7" x14ac:dyDescent="0.2">
      <c r="A146" s="1" t="s">
        <v>278</v>
      </c>
      <c r="F146" s="27" t="s">
        <v>271</v>
      </c>
      <c r="G146" s="10" t="s">
        <v>60</v>
      </c>
    </row>
    <row r="147" spans="1:7" x14ac:dyDescent="0.2">
      <c r="A147" s="1" t="s">
        <v>279</v>
      </c>
      <c r="F147" s="46" t="s">
        <v>152</v>
      </c>
      <c r="G147" s="1" t="s">
        <v>111</v>
      </c>
    </row>
    <row r="148" spans="1:7" x14ac:dyDescent="0.2">
      <c r="F148" s="20">
        <v>5</v>
      </c>
      <c r="G148" s="1" t="s">
        <v>62</v>
      </c>
    </row>
    <row r="149" spans="1:7" x14ac:dyDescent="0.2">
      <c r="A149" s="1" t="s">
        <v>280</v>
      </c>
      <c r="F149" s="20">
        <v>9</v>
      </c>
      <c r="G149" s="1" t="s">
        <v>63</v>
      </c>
    </row>
    <row r="150" spans="1:7" x14ac:dyDescent="0.2">
      <c r="A150" s="1" t="s">
        <v>281</v>
      </c>
      <c r="F150" s="20">
        <v>0</v>
      </c>
      <c r="G150" s="1" t="s">
        <v>64</v>
      </c>
    </row>
    <row r="151" spans="1:7" ht="17" thickBot="1" x14ac:dyDescent="0.25">
      <c r="A151" s="1" t="s">
        <v>282</v>
      </c>
      <c r="F151" s="20">
        <v>-4000</v>
      </c>
      <c r="G151" s="1" t="s">
        <v>65</v>
      </c>
    </row>
    <row r="152" spans="1:7" ht="17" thickBot="1" x14ac:dyDescent="0.25">
      <c r="A152" s="1" t="s">
        <v>283</v>
      </c>
      <c r="F152" s="47">
        <f>FV(F149/100,F148,F151,F150,1)</f>
        <v>26093.338259600027</v>
      </c>
      <c r="G152" s="1" t="s">
        <v>66</v>
      </c>
    </row>
    <row r="153" spans="1:7" x14ac:dyDescent="0.2">
      <c r="A153" s="1" t="s">
        <v>284</v>
      </c>
      <c r="F153" s="20" t="s">
        <v>245</v>
      </c>
    </row>
    <row r="154" spans="1:7" x14ac:dyDescent="0.2">
      <c r="A154" s="1" t="s">
        <v>285</v>
      </c>
    </row>
    <row r="155" spans="1:7" x14ac:dyDescent="0.2">
      <c r="A155" s="1" t="s">
        <v>286</v>
      </c>
    </row>
    <row r="157" spans="1:7" x14ac:dyDescent="0.2">
      <c r="E157" s="27" t="s">
        <v>287</v>
      </c>
      <c r="F157" s="27" t="s">
        <v>288</v>
      </c>
      <c r="G157" s="10" t="s">
        <v>60</v>
      </c>
    </row>
    <row r="158" spans="1:7" x14ac:dyDescent="0.2">
      <c r="E158" s="20" t="s">
        <v>75</v>
      </c>
      <c r="F158" s="20" t="s">
        <v>75</v>
      </c>
      <c r="G158" s="1" t="s">
        <v>111</v>
      </c>
    </row>
    <row r="159" spans="1:7" x14ac:dyDescent="0.2">
      <c r="E159" s="20">
        <v>1</v>
      </c>
      <c r="F159" s="20">
        <v>3</v>
      </c>
      <c r="G159" s="1" t="s">
        <v>62</v>
      </c>
    </row>
    <row r="160" spans="1:7" x14ac:dyDescent="0.2">
      <c r="E160" s="20">
        <v>7</v>
      </c>
      <c r="F160" s="20">
        <v>7</v>
      </c>
      <c r="G160" s="1" t="s">
        <v>63</v>
      </c>
    </row>
    <row r="161" spans="5:7" x14ac:dyDescent="0.2">
      <c r="E161" s="30">
        <f>-F163</f>
        <v>-16074.500000000005</v>
      </c>
      <c r="F161" s="20">
        <v>0</v>
      </c>
      <c r="G161" s="1" t="s">
        <v>64</v>
      </c>
    </row>
    <row r="162" spans="5:7" ht="17" thickBot="1" x14ac:dyDescent="0.25">
      <c r="E162" s="20">
        <v>0</v>
      </c>
      <c r="F162" s="20">
        <v>-5000</v>
      </c>
      <c r="G162" s="1" t="s">
        <v>65</v>
      </c>
    </row>
    <row r="163" spans="5:7" ht="17" thickBot="1" x14ac:dyDescent="0.25">
      <c r="E163" s="41">
        <f>FV(E160/100,E159,E162,E161)</f>
        <v>17199.715000000007</v>
      </c>
      <c r="F163" s="41">
        <f>FV(F160/100,F159,F162,F161)</f>
        <v>16074.500000000005</v>
      </c>
      <c r="G163" s="1" t="s">
        <v>66</v>
      </c>
    </row>
    <row r="164" spans="5:7" x14ac:dyDescent="0.2">
      <c r="E164" s="20" t="s">
        <v>245</v>
      </c>
    </row>
    <row r="194" spans="1:8" x14ac:dyDescent="0.2">
      <c r="A194" s="5" t="s">
        <v>1836</v>
      </c>
      <c r="B194" s="5"/>
      <c r="C194" s="5"/>
      <c r="D194" s="5"/>
      <c r="E194" s="5"/>
      <c r="F194" s="5"/>
      <c r="G194" s="5"/>
      <c r="H194" s="5">
        <v>1.7</v>
      </c>
    </row>
    <row r="195" spans="1:8" x14ac:dyDescent="0.2">
      <c r="A195" s="1" t="s">
        <v>203</v>
      </c>
    </row>
    <row r="196" spans="1:8" x14ac:dyDescent="0.2">
      <c r="A196" s="1" t="s">
        <v>204</v>
      </c>
    </row>
    <row r="197" spans="1:8" x14ac:dyDescent="0.2">
      <c r="A197" s="1" t="s">
        <v>1837</v>
      </c>
    </row>
    <row r="199" spans="1:8" x14ac:dyDescent="0.2">
      <c r="A199" s="1" t="s">
        <v>205</v>
      </c>
    </row>
    <row r="201" spans="1:8" x14ac:dyDescent="0.2">
      <c r="A201" s="115"/>
      <c r="B201" s="48" t="s">
        <v>1838</v>
      </c>
      <c r="C201" s="116"/>
      <c r="D201" s="48" t="s">
        <v>303</v>
      </c>
      <c r="E201" s="48" t="s">
        <v>301</v>
      </c>
      <c r="F201" s="48" t="s">
        <v>302</v>
      </c>
      <c r="G201" s="48" t="s">
        <v>300</v>
      </c>
    </row>
    <row r="202" spans="1:8" x14ac:dyDescent="0.2">
      <c r="A202" s="115"/>
      <c r="B202" s="48">
        <v>47</v>
      </c>
      <c r="C202" s="48"/>
      <c r="D202" s="48">
        <v>23</v>
      </c>
      <c r="E202" s="48">
        <v>22</v>
      </c>
      <c r="F202" s="48">
        <v>1</v>
      </c>
      <c r="G202" s="48">
        <v>0</v>
      </c>
    </row>
    <row r="203" spans="1:8" x14ac:dyDescent="0.2">
      <c r="A203" s="115"/>
      <c r="B203" s="218"/>
      <c r="C203" s="218"/>
      <c r="D203" s="218"/>
      <c r="E203" s="116"/>
      <c r="F203" s="116"/>
      <c r="G203" s="48"/>
    </row>
    <row r="204" spans="1:8" x14ac:dyDescent="0.2">
      <c r="A204" s="115"/>
      <c r="B204" s="218"/>
      <c r="C204" s="218"/>
      <c r="D204" s="218"/>
      <c r="E204" s="116"/>
      <c r="F204" s="116"/>
      <c r="G204" s="48"/>
    </row>
    <row r="205" spans="1:8" x14ac:dyDescent="0.2">
      <c r="A205" s="115"/>
      <c r="B205" s="209" t="s">
        <v>308</v>
      </c>
      <c r="C205" s="48"/>
      <c r="D205" s="48"/>
      <c r="E205" s="134" t="s">
        <v>304</v>
      </c>
      <c r="F205" s="116"/>
      <c r="G205" s="116"/>
    </row>
    <row r="206" spans="1:8" x14ac:dyDescent="0.2">
      <c r="A206" s="115"/>
      <c r="B206" s="116" t="s">
        <v>309</v>
      </c>
      <c r="C206" s="119">
        <v>19000</v>
      </c>
      <c r="D206" s="116"/>
      <c r="E206" s="116" t="s">
        <v>305</v>
      </c>
      <c r="F206" s="48" t="s">
        <v>306</v>
      </c>
      <c r="G206" s="116"/>
    </row>
    <row r="207" spans="1:8" x14ac:dyDescent="0.2">
      <c r="A207" s="115"/>
      <c r="B207" s="116" t="s">
        <v>310</v>
      </c>
      <c r="C207" s="48">
        <v>25</v>
      </c>
      <c r="D207" s="115"/>
      <c r="E207" s="116" t="s">
        <v>307</v>
      </c>
      <c r="F207" s="48">
        <v>22</v>
      </c>
      <c r="G207" s="116"/>
    </row>
    <row r="208" spans="1:8" x14ac:dyDescent="0.2">
      <c r="A208" s="115"/>
      <c r="B208" s="116" t="s">
        <v>216</v>
      </c>
      <c r="C208" s="220">
        <v>0.06</v>
      </c>
      <c r="D208" s="115"/>
      <c r="E208" s="116" t="s">
        <v>216</v>
      </c>
      <c r="F208" s="220">
        <v>0.06</v>
      </c>
      <c r="G208" s="116"/>
    </row>
    <row r="209" spans="1:9" x14ac:dyDescent="0.2">
      <c r="A209" s="115"/>
      <c r="B209" s="115"/>
      <c r="C209" s="115"/>
      <c r="D209" s="115"/>
      <c r="E209" s="115"/>
      <c r="F209" s="115"/>
      <c r="G209" s="115"/>
    </row>
    <row r="210" spans="1:9" x14ac:dyDescent="0.2">
      <c r="A210" s="115"/>
      <c r="B210" s="115"/>
      <c r="C210" s="115"/>
      <c r="D210" s="116" t="s">
        <v>1840</v>
      </c>
      <c r="E210" s="115"/>
      <c r="F210" s="115"/>
      <c r="G210" s="115"/>
    </row>
    <row r="211" spans="1:9" x14ac:dyDescent="0.2">
      <c r="A211" s="115"/>
      <c r="B211" s="116"/>
      <c r="C211" s="115"/>
      <c r="D211" s="115"/>
      <c r="E211" s="115"/>
      <c r="F211" s="115"/>
      <c r="G211" s="115"/>
    </row>
    <row r="212" spans="1:9" x14ac:dyDescent="0.2">
      <c r="A212" s="221" t="s">
        <v>1839</v>
      </c>
      <c r="B212" s="115"/>
      <c r="C212" s="115"/>
      <c r="D212" s="115"/>
      <c r="E212" s="115"/>
      <c r="F212" s="221" t="s">
        <v>1841</v>
      </c>
      <c r="G212" s="222"/>
      <c r="H212" s="86"/>
      <c r="I212" s="86"/>
    </row>
    <row r="213" spans="1:9" x14ac:dyDescent="0.2">
      <c r="A213" s="115"/>
      <c r="B213" s="115"/>
      <c r="C213" s="115"/>
      <c r="D213" s="115"/>
      <c r="E213" s="115"/>
      <c r="F213" s="116" t="s">
        <v>1842</v>
      </c>
      <c r="G213" s="116"/>
      <c r="H213" s="116"/>
      <c r="I213" s="116"/>
    </row>
    <row r="214" spans="1:9" x14ac:dyDescent="0.2">
      <c r="A214" s="115"/>
      <c r="B214" s="115"/>
      <c r="C214" s="115"/>
      <c r="D214" s="115"/>
      <c r="E214" s="115"/>
      <c r="F214" s="116" t="s">
        <v>1843</v>
      </c>
      <c r="G214" s="116"/>
      <c r="H214" s="116"/>
      <c r="I214" s="116"/>
    </row>
    <row r="215" spans="1:9" x14ac:dyDescent="0.2">
      <c r="A215" s="115"/>
      <c r="B215" s="115"/>
      <c r="C215" s="115"/>
      <c r="D215" s="115"/>
      <c r="E215" s="115"/>
      <c r="F215" s="116"/>
      <c r="G215" s="116"/>
      <c r="H215" s="116"/>
      <c r="I215" s="116"/>
    </row>
    <row r="216" spans="1:9" x14ac:dyDescent="0.2">
      <c r="A216" s="115"/>
      <c r="B216" s="115"/>
      <c r="C216" s="115"/>
      <c r="D216" s="115"/>
      <c r="E216" s="115"/>
      <c r="F216" s="116"/>
      <c r="G216" s="116"/>
      <c r="H216" s="116"/>
      <c r="I216" s="116"/>
    </row>
    <row r="217" spans="1:9" x14ac:dyDescent="0.2">
      <c r="A217" s="115"/>
      <c r="B217" s="115"/>
      <c r="C217" s="115"/>
      <c r="D217" s="115"/>
      <c r="E217" s="115"/>
      <c r="F217" s="115"/>
      <c r="G217" s="115"/>
    </row>
    <row r="218" spans="1:9" x14ac:dyDescent="0.2">
      <c r="D218" s="115"/>
      <c r="E218" s="115"/>
      <c r="F218" s="115"/>
      <c r="G218" s="115"/>
    </row>
    <row r="219" spans="1:9" x14ac:dyDescent="0.2">
      <c r="D219" s="115"/>
      <c r="E219" s="116"/>
      <c r="F219" s="135"/>
      <c r="G219" s="115"/>
    </row>
    <row r="220" spans="1:9" x14ac:dyDescent="0.2">
      <c r="D220" s="115"/>
      <c r="E220" s="115"/>
      <c r="F220" s="223" t="s">
        <v>1844</v>
      </c>
      <c r="G220" s="116"/>
      <c r="H220" s="116"/>
      <c r="I220" s="116"/>
    </row>
    <row r="221" spans="1:9" x14ac:dyDescent="0.2">
      <c r="D221" s="115"/>
      <c r="E221" s="115"/>
      <c r="F221" s="223" t="s">
        <v>1845</v>
      </c>
      <c r="G221" s="116"/>
      <c r="H221" s="116"/>
      <c r="I221" s="116"/>
    </row>
    <row r="222" spans="1:9" x14ac:dyDescent="0.2">
      <c r="D222" s="115"/>
      <c r="E222" s="115"/>
      <c r="F222" s="116"/>
      <c r="G222" s="116"/>
      <c r="H222" s="116"/>
      <c r="I222" s="116"/>
    </row>
    <row r="223" spans="1:9" x14ac:dyDescent="0.2">
      <c r="D223" s="115"/>
      <c r="E223" s="115"/>
      <c r="F223" s="116"/>
      <c r="G223" s="116"/>
      <c r="H223" s="116"/>
    </row>
    <row r="224" spans="1:9" x14ac:dyDescent="0.2">
      <c r="D224" s="115"/>
      <c r="E224" s="115"/>
      <c r="F224" s="116" t="s">
        <v>1846</v>
      </c>
      <c r="G224" s="116"/>
      <c r="H224" s="116"/>
    </row>
    <row r="225" spans="1:8" x14ac:dyDescent="0.2">
      <c r="A225" s="115"/>
      <c r="B225" s="115"/>
      <c r="C225" s="115"/>
      <c r="D225" s="115"/>
      <c r="E225" s="115"/>
      <c r="F225" s="116"/>
      <c r="G225" s="116"/>
      <c r="H225" s="116"/>
    </row>
    <row r="226" spans="1:8" x14ac:dyDescent="0.2">
      <c r="A226" s="27" t="s">
        <v>315</v>
      </c>
      <c r="B226" s="10" t="s">
        <v>60</v>
      </c>
      <c r="D226" s="115"/>
      <c r="E226" s="115"/>
      <c r="F226" s="27" t="s">
        <v>316</v>
      </c>
      <c r="G226" s="10" t="s">
        <v>60</v>
      </c>
    </row>
    <row r="227" spans="1:8" x14ac:dyDescent="0.2">
      <c r="A227" s="20" t="s">
        <v>75</v>
      </c>
      <c r="B227" s="1" t="s">
        <v>111</v>
      </c>
      <c r="D227" s="115"/>
      <c r="E227" s="115"/>
      <c r="F227" s="20" t="s">
        <v>75</v>
      </c>
      <c r="G227" s="1" t="s">
        <v>111</v>
      </c>
    </row>
    <row r="228" spans="1:8" x14ac:dyDescent="0.2">
      <c r="A228" s="20">
        <v>25</v>
      </c>
      <c r="B228" s="1" t="s">
        <v>62</v>
      </c>
      <c r="D228" s="115"/>
      <c r="E228" s="115"/>
      <c r="F228" s="20">
        <v>22</v>
      </c>
      <c r="G228" s="1" t="s">
        <v>62</v>
      </c>
    </row>
    <row r="229" spans="1:8" x14ac:dyDescent="0.2">
      <c r="A229" s="20">
        <v>6</v>
      </c>
      <c r="B229" s="1" t="s">
        <v>63</v>
      </c>
      <c r="D229" s="115"/>
      <c r="E229" s="115"/>
      <c r="F229" s="20">
        <v>6</v>
      </c>
      <c r="G229" s="1" t="s">
        <v>63</v>
      </c>
    </row>
    <row r="230" spans="1:8" x14ac:dyDescent="0.2">
      <c r="A230" s="50">
        <f>PV(A229/100,A228,A231,A232)</f>
        <v>-242883.76700709984</v>
      </c>
      <c r="B230" s="1" t="s">
        <v>64</v>
      </c>
      <c r="C230" s="1" t="s">
        <v>77</v>
      </c>
      <c r="D230" s="115"/>
      <c r="E230" s="115"/>
      <c r="F230" s="48">
        <v>0</v>
      </c>
      <c r="G230" s="1" t="s">
        <v>64</v>
      </c>
      <c r="H230" s="1" t="s">
        <v>1848</v>
      </c>
    </row>
    <row r="231" spans="1:8" ht="23" x14ac:dyDescent="0.25">
      <c r="A231" s="20">
        <v>19000</v>
      </c>
      <c r="B231" s="1" t="s">
        <v>65</v>
      </c>
      <c r="D231" s="115"/>
      <c r="E231" s="115"/>
      <c r="F231" s="224">
        <v>-5598</v>
      </c>
      <c r="G231" s="1" t="s">
        <v>65</v>
      </c>
      <c r="H231" s="212" t="s">
        <v>77</v>
      </c>
    </row>
    <row r="232" spans="1:8" x14ac:dyDescent="0.2">
      <c r="A232" s="20">
        <v>0</v>
      </c>
      <c r="B232" s="1" t="s">
        <v>66</v>
      </c>
      <c r="D232" s="115"/>
      <c r="E232" s="115"/>
      <c r="F232" s="50">
        <f>-A230</f>
        <v>242883.76700709984</v>
      </c>
      <c r="G232" s="1" t="s">
        <v>1847</v>
      </c>
    </row>
    <row r="233" spans="1:8" x14ac:dyDescent="0.2">
      <c r="A233" s="115"/>
      <c r="B233" s="115"/>
      <c r="C233" s="115"/>
      <c r="D233" s="115"/>
      <c r="E233" s="115"/>
      <c r="F233" s="115"/>
      <c r="G233" s="115"/>
    </row>
    <row r="234" spans="1:8" x14ac:dyDescent="0.2">
      <c r="A234" s="115"/>
      <c r="B234" s="115"/>
      <c r="C234" s="115"/>
      <c r="D234" s="115"/>
      <c r="E234" s="115"/>
      <c r="F234" s="115"/>
      <c r="G234" s="115"/>
    </row>
    <row r="235" spans="1:8" x14ac:dyDescent="0.2">
      <c r="A235" s="1" t="s">
        <v>311</v>
      </c>
    </row>
    <row r="236" spans="1:8" x14ac:dyDescent="0.2">
      <c r="A236" s="1" t="s">
        <v>312</v>
      </c>
    </row>
    <row r="237" spans="1:8" x14ac:dyDescent="0.2">
      <c r="A237" s="1" t="s">
        <v>313</v>
      </c>
    </row>
    <row r="238" spans="1:8" x14ac:dyDescent="0.2">
      <c r="A238" s="1" t="s">
        <v>314</v>
      </c>
    </row>
    <row r="241" spans="1:10" x14ac:dyDescent="0.2">
      <c r="A241" s="1" t="s">
        <v>317</v>
      </c>
    </row>
    <row r="242" spans="1:10" x14ac:dyDescent="0.2">
      <c r="A242" s="1" t="s">
        <v>318</v>
      </c>
      <c r="G242" s="27" t="s">
        <v>316</v>
      </c>
      <c r="H242" s="27" t="s">
        <v>315</v>
      </c>
      <c r="I242" s="10" t="s">
        <v>60</v>
      </c>
    </row>
    <row r="243" spans="1:10" x14ac:dyDescent="0.2">
      <c r="A243" s="1" t="s">
        <v>319</v>
      </c>
      <c r="G243" s="20" t="s">
        <v>75</v>
      </c>
      <c r="H243" s="20" t="s">
        <v>75</v>
      </c>
      <c r="I243" s="1" t="s">
        <v>111</v>
      </c>
    </row>
    <row r="244" spans="1:10" x14ac:dyDescent="0.2">
      <c r="A244" s="1" t="s">
        <v>320</v>
      </c>
      <c r="G244" s="20">
        <v>22</v>
      </c>
      <c r="H244" s="20">
        <v>25</v>
      </c>
      <c r="I244" s="1" t="s">
        <v>62</v>
      </c>
    </row>
    <row r="245" spans="1:10" x14ac:dyDescent="0.2">
      <c r="A245" s="1" t="s">
        <v>321</v>
      </c>
      <c r="G245" s="20">
        <v>6</v>
      </c>
      <c r="H245" s="20">
        <v>6</v>
      </c>
      <c r="I245" s="1" t="s">
        <v>63</v>
      </c>
    </row>
    <row r="246" spans="1:10" ht="17" thickBot="1" x14ac:dyDescent="0.25">
      <c r="G246" s="20">
        <v>0</v>
      </c>
      <c r="H246" s="50">
        <f>PV(H245/100,H244,H247,H248)</f>
        <v>-242883.76700709984</v>
      </c>
      <c r="I246" s="1" t="s">
        <v>64</v>
      </c>
      <c r="J246" s="1" t="s">
        <v>77</v>
      </c>
    </row>
    <row r="247" spans="1:10" ht="17" thickBot="1" x14ac:dyDescent="0.25">
      <c r="F247" s="7" t="s">
        <v>245</v>
      </c>
      <c r="G247" s="53">
        <f>PMT(G245/100,G244,G246,G248)</f>
        <v>-5597.3945016616299</v>
      </c>
      <c r="H247" s="20">
        <v>19000</v>
      </c>
      <c r="I247" s="1" t="s">
        <v>65</v>
      </c>
    </row>
    <row r="248" spans="1:10" x14ac:dyDescent="0.2">
      <c r="G248" s="50">
        <f>-H246</f>
        <v>242883.76700709984</v>
      </c>
      <c r="H248" s="20">
        <v>0</v>
      </c>
      <c r="I248" s="1" t="s">
        <v>66</v>
      </c>
    </row>
    <row r="251" spans="1:10" x14ac:dyDescent="0.2">
      <c r="A251" s="5" t="s">
        <v>206</v>
      </c>
      <c r="B251" s="5"/>
      <c r="C251" s="5"/>
      <c r="D251" s="5"/>
      <c r="E251" s="5"/>
      <c r="F251" s="5"/>
      <c r="G251" s="5"/>
      <c r="H251" s="5">
        <v>1.8</v>
      </c>
    </row>
    <row r="252" spans="1:10" x14ac:dyDescent="0.2">
      <c r="A252" s="1" t="s">
        <v>207</v>
      </c>
    </row>
    <row r="253" spans="1:10" x14ac:dyDescent="0.2">
      <c r="A253" s="1" t="s">
        <v>208</v>
      </c>
    </row>
    <row r="255" spans="1:10" x14ac:dyDescent="0.2">
      <c r="B255" s="1" t="s">
        <v>209</v>
      </c>
      <c r="C255" s="1" t="s">
        <v>210</v>
      </c>
      <c r="D255" s="1" t="s">
        <v>177</v>
      </c>
    </row>
    <row r="256" spans="1:10" x14ac:dyDescent="0.2">
      <c r="B256" s="1">
        <v>1</v>
      </c>
      <c r="C256" s="1">
        <v>3</v>
      </c>
      <c r="D256" s="37">
        <v>0.04</v>
      </c>
    </row>
    <row r="257" spans="1:7" x14ac:dyDescent="0.2">
      <c r="B257" s="1">
        <v>4</v>
      </c>
      <c r="C257" s="1">
        <v>9</v>
      </c>
      <c r="D257" s="37">
        <v>0.02</v>
      </c>
    </row>
    <row r="258" spans="1:7" x14ac:dyDescent="0.2">
      <c r="B258" s="1">
        <v>10</v>
      </c>
      <c r="C258" s="1">
        <v>20</v>
      </c>
      <c r="D258" s="37">
        <v>7.0000000000000007E-2</v>
      </c>
    </row>
    <row r="260" spans="1:7" x14ac:dyDescent="0.2">
      <c r="A260" s="1" t="s">
        <v>289</v>
      </c>
    </row>
    <row r="262" spans="1:7" x14ac:dyDescent="0.2">
      <c r="A262" s="1" t="s">
        <v>211</v>
      </c>
    </row>
    <row r="264" spans="1:7" x14ac:dyDescent="0.2">
      <c r="A264" s="204">
        <v>20</v>
      </c>
      <c r="B264" s="20">
        <v>10</v>
      </c>
      <c r="C264" s="20">
        <v>9</v>
      </c>
      <c r="D264" s="20">
        <v>4</v>
      </c>
      <c r="E264" s="20">
        <v>3</v>
      </c>
      <c r="F264" s="20">
        <v>1</v>
      </c>
      <c r="G264" s="20">
        <v>0</v>
      </c>
    </row>
    <row r="265" spans="1:7" x14ac:dyDescent="0.2">
      <c r="G265" s="20"/>
    </row>
    <row r="266" spans="1:7" x14ac:dyDescent="0.2">
      <c r="G266" s="20"/>
    </row>
    <row r="267" spans="1:7" x14ac:dyDescent="0.2">
      <c r="G267" s="20"/>
    </row>
    <row r="268" spans="1:7" x14ac:dyDescent="0.2">
      <c r="G268" s="20"/>
    </row>
    <row r="269" spans="1:7" x14ac:dyDescent="0.2">
      <c r="G269" s="20"/>
    </row>
    <row r="270" spans="1:7" x14ac:dyDescent="0.2">
      <c r="G270" s="20"/>
    </row>
    <row r="271" spans="1:7" x14ac:dyDescent="0.2">
      <c r="G271" s="20"/>
    </row>
    <row r="278" spans="1:7" x14ac:dyDescent="0.2">
      <c r="A278" s="18" t="s">
        <v>1849</v>
      </c>
    </row>
    <row r="279" spans="1:7" x14ac:dyDescent="0.2">
      <c r="A279" s="1" t="s">
        <v>1850</v>
      </c>
    </row>
    <row r="282" spans="1:7" x14ac:dyDescent="0.2">
      <c r="C282" s="48" t="s">
        <v>291</v>
      </c>
      <c r="D282" s="48" t="s">
        <v>252</v>
      </c>
      <c r="E282" s="20" t="s">
        <v>290</v>
      </c>
      <c r="F282" s="20" t="s">
        <v>60</v>
      </c>
    </row>
    <row r="283" spans="1:7" x14ac:dyDescent="0.2">
      <c r="C283" s="48" t="s">
        <v>75</v>
      </c>
      <c r="D283" s="48" t="s">
        <v>75</v>
      </c>
      <c r="E283" s="48" t="s">
        <v>75</v>
      </c>
      <c r="F283" s="20" t="s">
        <v>111</v>
      </c>
    </row>
    <row r="284" spans="1:7" x14ac:dyDescent="0.2">
      <c r="C284" s="48">
        <v>11</v>
      </c>
      <c r="D284" s="48">
        <v>6</v>
      </c>
      <c r="E284" s="48">
        <v>3</v>
      </c>
      <c r="F284" s="20" t="s">
        <v>62</v>
      </c>
    </row>
    <row r="285" spans="1:7" x14ac:dyDescent="0.2">
      <c r="C285" s="48">
        <v>7</v>
      </c>
      <c r="D285" s="48">
        <v>2</v>
      </c>
      <c r="E285" s="48">
        <v>4</v>
      </c>
      <c r="F285" s="20" t="s">
        <v>63</v>
      </c>
    </row>
    <row r="286" spans="1:7" x14ac:dyDescent="0.2">
      <c r="C286" s="49">
        <f>-D288</f>
        <v>-9.8235495711745084</v>
      </c>
      <c r="D286" s="49">
        <f>-E288</f>
        <v>-3.1216000000000022</v>
      </c>
      <c r="E286" s="48">
        <v>0</v>
      </c>
      <c r="F286" s="20" t="s">
        <v>64</v>
      </c>
    </row>
    <row r="287" spans="1:7" ht="17" thickBot="1" x14ac:dyDescent="0.25">
      <c r="C287" s="48">
        <v>-1</v>
      </c>
      <c r="D287" s="48">
        <v>-1</v>
      </c>
      <c r="E287" s="48">
        <v>-1</v>
      </c>
      <c r="F287" s="20" t="s">
        <v>65</v>
      </c>
    </row>
    <row r="288" spans="1:7" ht="17" thickBot="1" x14ac:dyDescent="0.25">
      <c r="C288" s="225">
        <f>FV(C285/100,C284,C287,C286)</f>
        <v>36.460716811969952</v>
      </c>
      <c r="D288" s="225">
        <f>FV(D285/100,D284,D287,D286)</f>
        <v>9.8235495711745084</v>
      </c>
      <c r="E288" s="225">
        <f>FV(E285/100,E284,E287,E286)</f>
        <v>3.1216000000000022</v>
      </c>
      <c r="F288" s="20" t="s">
        <v>66</v>
      </c>
      <c r="G288" s="22" t="s">
        <v>77</v>
      </c>
    </row>
    <row r="290" spans="1:6" x14ac:dyDescent="0.2">
      <c r="A290" s="1" t="s">
        <v>292</v>
      </c>
    </row>
    <row r="291" spans="1:6" x14ac:dyDescent="0.2">
      <c r="A291" s="1" t="s">
        <v>293</v>
      </c>
    </row>
    <row r="293" spans="1:6" x14ac:dyDescent="0.2">
      <c r="E293" s="1" t="s">
        <v>294</v>
      </c>
    </row>
    <row r="294" spans="1:6" x14ac:dyDescent="0.2">
      <c r="C294" s="1" t="s">
        <v>245</v>
      </c>
      <c r="D294" s="50">
        <f>500000/C288</f>
        <v>13713.389195789245</v>
      </c>
      <c r="E294" s="1" t="s">
        <v>295</v>
      </c>
      <c r="F294" s="18" t="s">
        <v>1851</v>
      </c>
    </row>
    <row r="296" spans="1:6" x14ac:dyDescent="0.2">
      <c r="A296" s="1" t="s">
        <v>296</v>
      </c>
    </row>
    <row r="297" spans="1:6" x14ac:dyDescent="0.2">
      <c r="A297" s="1" t="s">
        <v>297</v>
      </c>
    </row>
    <row r="298" spans="1:6" x14ac:dyDescent="0.2">
      <c r="A298" s="1" t="s">
        <v>298</v>
      </c>
    </row>
    <row r="305" spans="2:2" x14ac:dyDescent="0.2">
      <c r="B305" s="1" t="s">
        <v>299</v>
      </c>
    </row>
  </sheetData>
  <mergeCells count="1">
    <mergeCell ref="A1:H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0C0CD2-1963-FD42-AD03-9DBA64B23BBB}">
  <dimension ref="A1:Q417"/>
  <sheetViews>
    <sheetView rightToLeft="1" topLeftCell="A187" zoomScale="200" zoomScaleNormal="160" workbookViewId="0">
      <selection activeCell="H115" sqref="H115"/>
    </sheetView>
  </sheetViews>
  <sheetFormatPr baseColWidth="10" defaultRowHeight="16" x14ac:dyDescent="0.2"/>
  <cols>
    <col min="1" max="4" width="10.83203125" style="1"/>
    <col min="5" max="5" width="11.33203125" style="1" customWidth="1"/>
    <col min="6" max="6" width="10.83203125" style="1"/>
    <col min="7" max="7" width="11.6640625" style="1" bestFit="1" customWidth="1"/>
    <col min="8" max="16384" width="10.83203125" style="1"/>
  </cols>
  <sheetData>
    <row r="1" spans="1:14" x14ac:dyDescent="0.2">
      <c r="A1" s="6" t="s">
        <v>1852</v>
      </c>
      <c r="B1" s="5"/>
      <c r="C1" s="5"/>
      <c r="D1" s="5"/>
      <c r="E1" s="5"/>
      <c r="F1" s="5"/>
      <c r="G1" s="5"/>
      <c r="H1" s="226" t="s">
        <v>3055</v>
      </c>
      <c r="L1" s="52" t="s">
        <v>3056</v>
      </c>
      <c r="M1" s="52"/>
      <c r="N1" s="52"/>
    </row>
    <row r="2" spans="1:14" ht="17" thickBot="1" x14ac:dyDescent="0.25">
      <c r="L2" s="52" t="s">
        <v>3057</v>
      </c>
      <c r="M2" s="52"/>
      <c r="N2" s="52"/>
    </row>
    <row r="3" spans="1:14" x14ac:dyDescent="0.2">
      <c r="A3" s="12" t="s">
        <v>1853</v>
      </c>
      <c r="B3" s="13"/>
      <c r="C3" s="13"/>
      <c r="D3" s="13"/>
      <c r="E3" s="13"/>
      <c r="F3" s="13"/>
      <c r="G3" s="13"/>
      <c r="H3" s="13"/>
      <c r="I3" s="13"/>
      <c r="J3" s="14"/>
    </row>
    <row r="4" spans="1:14" x14ac:dyDescent="0.2">
      <c r="A4" s="72" t="s">
        <v>1858</v>
      </c>
      <c r="J4" s="73"/>
      <c r="L4" s="52" t="s">
        <v>3058</v>
      </c>
      <c r="M4" s="52"/>
      <c r="N4" s="52"/>
    </row>
    <row r="5" spans="1:14" x14ac:dyDescent="0.2">
      <c r="A5" s="72" t="s">
        <v>1854</v>
      </c>
      <c r="J5" s="73"/>
      <c r="L5" s="52" t="s">
        <v>3059</v>
      </c>
      <c r="M5" s="52"/>
      <c r="N5" s="52"/>
    </row>
    <row r="6" spans="1:14" x14ac:dyDescent="0.2">
      <c r="A6" s="227" t="s">
        <v>1859</v>
      </c>
      <c r="B6" s="228"/>
      <c r="C6" s="228"/>
      <c r="D6" s="228"/>
      <c r="E6" s="228"/>
      <c r="F6" s="228"/>
      <c r="G6" s="228"/>
      <c r="H6" s="228"/>
      <c r="I6" s="228"/>
      <c r="J6" s="229"/>
    </row>
    <row r="7" spans="1:14" x14ac:dyDescent="0.2">
      <c r="A7" s="72" t="s">
        <v>1857</v>
      </c>
      <c r="J7" s="73"/>
    </row>
    <row r="8" spans="1:14" x14ac:dyDescent="0.2">
      <c r="A8" s="72" t="s">
        <v>1855</v>
      </c>
      <c r="J8" s="73"/>
    </row>
    <row r="9" spans="1:14" ht="17" thickBot="1" x14ac:dyDescent="0.25">
      <c r="A9" s="15" t="s">
        <v>1856</v>
      </c>
      <c r="B9" s="16"/>
      <c r="C9" s="16"/>
      <c r="D9" s="16"/>
      <c r="E9" s="16"/>
      <c r="F9" s="16"/>
      <c r="G9" s="16"/>
      <c r="H9" s="16"/>
      <c r="I9" s="16"/>
      <c r="J9" s="17"/>
    </row>
    <row r="10" spans="1:14" ht="17" thickBot="1" x14ac:dyDescent="0.25"/>
    <row r="11" spans="1:14" x14ac:dyDescent="0.2">
      <c r="A11" s="12" t="s">
        <v>433</v>
      </c>
      <c r="B11" s="13" t="s">
        <v>1860</v>
      </c>
      <c r="C11" s="13"/>
      <c r="D11" s="13"/>
      <c r="E11" s="13"/>
      <c r="F11" s="13"/>
      <c r="G11" s="13"/>
      <c r="H11" s="13"/>
      <c r="I11" s="13"/>
      <c r="J11" s="14"/>
    </row>
    <row r="12" spans="1:14" ht="17" thickBot="1" x14ac:dyDescent="0.25">
      <c r="A12" s="15"/>
      <c r="B12" s="16" t="s">
        <v>1861</v>
      </c>
      <c r="C12" s="16"/>
      <c r="D12" s="16"/>
      <c r="E12" s="16"/>
      <c r="F12" s="16"/>
      <c r="G12" s="16"/>
      <c r="H12" s="16"/>
      <c r="I12" s="16"/>
      <c r="J12" s="17"/>
    </row>
    <row r="14" spans="1:14" x14ac:dyDescent="0.2">
      <c r="A14" s="1" t="s">
        <v>434</v>
      </c>
      <c r="B14" s="1" t="s">
        <v>435</v>
      </c>
    </row>
    <row r="15" spans="1:14" ht="17" thickBot="1" x14ac:dyDescent="0.25"/>
    <row r="16" spans="1:14" ht="17" thickBot="1" x14ac:dyDescent="0.25">
      <c r="A16" s="60" t="s">
        <v>406</v>
      </c>
      <c r="B16" s="61"/>
      <c r="C16" s="61"/>
      <c r="D16" s="61"/>
      <c r="E16" s="61"/>
      <c r="F16" s="61"/>
      <c r="G16" s="61"/>
      <c r="H16" s="62" t="s">
        <v>387</v>
      </c>
      <c r="I16" s="1" t="s">
        <v>1862</v>
      </c>
    </row>
    <row r="17" spans="1:8" x14ac:dyDescent="0.2">
      <c r="H17" s="408" t="s">
        <v>3024</v>
      </c>
    </row>
    <row r="18" spans="1:8" x14ac:dyDescent="0.2">
      <c r="A18" s="1" t="s">
        <v>388</v>
      </c>
      <c r="H18" s="408" t="s">
        <v>2390</v>
      </c>
    </row>
    <row r="19" spans="1:8" x14ac:dyDescent="0.2">
      <c r="A19" s="406" t="s">
        <v>3027</v>
      </c>
      <c r="H19" s="408" t="s">
        <v>3025</v>
      </c>
    </row>
    <row r="20" spans="1:8" x14ac:dyDescent="0.2">
      <c r="H20" s="408" t="s">
        <v>3026</v>
      </c>
    </row>
    <row r="21" spans="1:8" x14ac:dyDescent="0.2">
      <c r="A21" s="1" t="s">
        <v>389</v>
      </c>
    </row>
    <row r="22" spans="1:8" x14ac:dyDescent="0.2">
      <c r="G22" s="63" t="s">
        <v>449</v>
      </c>
    </row>
    <row r="23" spans="1:8" x14ac:dyDescent="0.2">
      <c r="A23" s="1" t="s">
        <v>146</v>
      </c>
      <c r="D23" s="20" t="s">
        <v>60</v>
      </c>
      <c r="G23" s="1" t="s">
        <v>442</v>
      </c>
    </row>
    <row r="24" spans="1:8" x14ac:dyDescent="0.2">
      <c r="A24" s="18" t="s">
        <v>391</v>
      </c>
      <c r="D24" s="409" t="s">
        <v>75</v>
      </c>
      <c r="E24" s="1" t="s">
        <v>390</v>
      </c>
      <c r="G24" s="1" t="s">
        <v>443</v>
      </c>
    </row>
    <row r="25" spans="1:8" x14ac:dyDescent="0.2">
      <c r="A25" s="1" t="s">
        <v>451</v>
      </c>
      <c r="D25" s="409">
        <v>120</v>
      </c>
      <c r="E25" s="1" t="s">
        <v>62</v>
      </c>
      <c r="G25" s="1" t="s">
        <v>444</v>
      </c>
    </row>
    <row r="26" spans="1:8" x14ac:dyDescent="0.2">
      <c r="A26" s="1" t="s">
        <v>454</v>
      </c>
      <c r="D26" s="409">
        <f>12/12</f>
        <v>1</v>
      </c>
      <c r="E26" s="1" t="s">
        <v>63</v>
      </c>
      <c r="G26" s="1" t="s">
        <v>445</v>
      </c>
    </row>
    <row r="27" spans="1:8" x14ac:dyDescent="0.2">
      <c r="A27" s="1" t="s">
        <v>452</v>
      </c>
      <c r="D27" s="409">
        <f>30000*90%</f>
        <v>27000</v>
      </c>
      <c r="E27" s="1" t="s">
        <v>64</v>
      </c>
      <c r="G27" s="1" t="s">
        <v>446</v>
      </c>
    </row>
    <row r="28" spans="1:8" x14ac:dyDescent="0.2">
      <c r="A28" s="1" t="s">
        <v>455</v>
      </c>
      <c r="D28" s="426">
        <f>PMT(D26/100,D25,D27,D29)</f>
        <v>-387.3715606869859</v>
      </c>
      <c r="E28" s="1" t="s">
        <v>65</v>
      </c>
      <c r="F28" s="1" t="s">
        <v>77</v>
      </c>
      <c r="G28" s="1" t="s">
        <v>447</v>
      </c>
    </row>
    <row r="29" spans="1:8" x14ac:dyDescent="0.2">
      <c r="A29" s="1" t="s">
        <v>453</v>
      </c>
      <c r="D29" s="409">
        <v>0</v>
      </c>
      <c r="E29" s="1" t="s">
        <v>66</v>
      </c>
    </row>
    <row r="30" spans="1:8" x14ac:dyDescent="0.2">
      <c r="G30" s="1" t="s">
        <v>450</v>
      </c>
    </row>
    <row r="31" spans="1:8" x14ac:dyDescent="0.2">
      <c r="A31" s="18" t="s">
        <v>392</v>
      </c>
      <c r="G31" s="1" t="s">
        <v>448</v>
      </c>
    </row>
    <row r="32" spans="1:8" x14ac:dyDescent="0.2">
      <c r="A32" s="1" t="s">
        <v>393</v>
      </c>
    </row>
    <row r="36" spans="1:9" x14ac:dyDescent="0.2">
      <c r="A36" s="1" t="s">
        <v>394</v>
      </c>
    </row>
    <row r="40" spans="1:9" ht="17" thickBot="1" x14ac:dyDescent="0.25"/>
    <row r="41" spans="1:9" ht="17" thickBot="1" x14ac:dyDescent="0.25">
      <c r="A41" s="60" t="s">
        <v>407</v>
      </c>
      <c r="B41" s="61"/>
      <c r="C41" s="61"/>
      <c r="D41" s="61"/>
      <c r="E41" s="61"/>
      <c r="F41" s="61"/>
      <c r="G41" s="61"/>
      <c r="H41" s="62" t="s">
        <v>395</v>
      </c>
      <c r="I41" s="1" t="s">
        <v>1862</v>
      </c>
    </row>
    <row r="43" spans="1:9" x14ac:dyDescent="0.2">
      <c r="A43" s="1" t="s">
        <v>396</v>
      </c>
    </row>
    <row r="44" spans="1:9" x14ac:dyDescent="0.2">
      <c r="A44" s="1" t="s">
        <v>412</v>
      </c>
    </row>
    <row r="46" spans="1:9" x14ac:dyDescent="0.2">
      <c r="A46" s="1" t="s">
        <v>397</v>
      </c>
      <c r="F46" s="406" t="s">
        <v>3028</v>
      </c>
    </row>
    <row r="48" spans="1:9" x14ac:dyDescent="0.2">
      <c r="A48" s="1" t="s">
        <v>146</v>
      </c>
    </row>
    <row r="50" spans="1:7" x14ac:dyDescent="0.2">
      <c r="A50" s="1" t="s">
        <v>398</v>
      </c>
      <c r="E50" s="20" t="s">
        <v>60</v>
      </c>
    </row>
    <row r="51" spans="1:7" x14ac:dyDescent="0.2">
      <c r="E51" s="48" t="s">
        <v>75</v>
      </c>
      <c r="F51" s="1" t="s">
        <v>390</v>
      </c>
    </row>
    <row r="52" spans="1:7" x14ac:dyDescent="0.2">
      <c r="A52" s="406" t="s">
        <v>403</v>
      </c>
      <c r="E52" s="48">
        <f>5*12</f>
        <v>60</v>
      </c>
      <c r="F52" s="1" t="s">
        <v>62</v>
      </c>
      <c r="G52" s="406" t="s">
        <v>3029</v>
      </c>
    </row>
    <row r="53" spans="1:7" x14ac:dyDescent="0.2">
      <c r="E53" s="48">
        <f>6/12</f>
        <v>0.5</v>
      </c>
      <c r="F53" s="1" t="s">
        <v>63</v>
      </c>
    </row>
    <row r="54" spans="1:7" x14ac:dyDescent="0.2">
      <c r="E54" s="48">
        <f>5000*80%</f>
        <v>4000</v>
      </c>
      <c r="F54" s="1" t="s">
        <v>64</v>
      </c>
    </row>
    <row r="55" spans="1:7" x14ac:dyDescent="0.2">
      <c r="E55" s="64">
        <f>PMT(E53/100,E52,E54,E56)</f>
        <v>-77.331206117711659</v>
      </c>
      <c r="F55" s="1" t="s">
        <v>65</v>
      </c>
      <c r="G55" s="1" t="s">
        <v>456</v>
      </c>
    </row>
    <row r="56" spans="1:7" x14ac:dyDescent="0.2">
      <c r="A56" s="427" t="s">
        <v>3030</v>
      </c>
      <c r="E56" s="48">
        <v>0</v>
      </c>
      <c r="F56" s="1" t="s">
        <v>66</v>
      </c>
    </row>
    <row r="58" spans="1:7" x14ac:dyDescent="0.2">
      <c r="A58" s="1" t="s">
        <v>399</v>
      </c>
    </row>
    <row r="59" spans="1:7" x14ac:dyDescent="0.2">
      <c r="A59" s="1" t="s">
        <v>400</v>
      </c>
    </row>
    <row r="60" spans="1:7" x14ac:dyDescent="0.2">
      <c r="A60" s="1" t="s">
        <v>401</v>
      </c>
    </row>
    <row r="61" spans="1:7" x14ac:dyDescent="0.2">
      <c r="A61" s="1" t="s">
        <v>402</v>
      </c>
    </row>
    <row r="62" spans="1:7" x14ac:dyDescent="0.2">
      <c r="A62" s="18" t="s">
        <v>457</v>
      </c>
    </row>
    <row r="64" spans="1:7" x14ac:dyDescent="0.2">
      <c r="F64" s="418" t="s">
        <v>436</v>
      </c>
    </row>
    <row r="65" spans="1:7" x14ac:dyDescent="0.2">
      <c r="A65" s="1" t="s">
        <v>458</v>
      </c>
      <c r="E65" s="20">
        <v>26</v>
      </c>
      <c r="F65" s="1" t="s">
        <v>437</v>
      </c>
    </row>
    <row r="66" spans="1:7" x14ac:dyDescent="0.2">
      <c r="A66" s="1" t="s">
        <v>458</v>
      </c>
      <c r="E66" s="20">
        <v>26</v>
      </c>
      <c r="F66" s="1" t="s">
        <v>438</v>
      </c>
    </row>
    <row r="67" spans="1:7" x14ac:dyDescent="0.2">
      <c r="A67" s="1" t="s">
        <v>459</v>
      </c>
      <c r="E67" s="65">
        <v>2412.39</v>
      </c>
      <c r="F67" s="1" t="s">
        <v>439</v>
      </c>
      <c r="G67" s="1" t="s">
        <v>461</v>
      </c>
    </row>
    <row r="69" spans="1:7" x14ac:dyDescent="0.2">
      <c r="A69" s="1" t="s">
        <v>460</v>
      </c>
    </row>
    <row r="72" spans="1:7" x14ac:dyDescent="0.2">
      <c r="A72" s="1" t="s">
        <v>403</v>
      </c>
    </row>
    <row r="73" spans="1:7" x14ac:dyDescent="0.2">
      <c r="A73" s="1" t="s">
        <v>404</v>
      </c>
    </row>
    <row r="79" spans="1:7" x14ac:dyDescent="0.2">
      <c r="A79" s="406" t="s">
        <v>3031</v>
      </c>
    </row>
    <row r="80" spans="1:7" x14ac:dyDescent="0.2">
      <c r="A80" s="1" t="s">
        <v>405</v>
      </c>
    </row>
    <row r="87" spans="1:9" ht="17" thickBot="1" x14ac:dyDescent="0.25"/>
    <row r="88" spans="1:9" ht="17" thickBot="1" x14ac:dyDescent="0.25">
      <c r="A88" s="60" t="s">
        <v>408</v>
      </c>
      <c r="B88" s="61"/>
      <c r="C88" s="61"/>
      <c r="D88" s="61"/>
      <c r="E88" s="61"/>
      <c r="F88" s="61"/>
      <c r="G88" s="61"/>
      <c r="H88" s="62" t="s">
        <v>409</v>
      </c>
      <c r="I88" s="1" t="s">
        <v>1862</v>
      </c>
    </row>
    <row r="90" spans="1:9" x14ac:dyDescent="0.2">
      <c r="A90" s="406" t="s">
        <v>3032</v>
      </c>
    </row>
    <row r="91" spans="1:9" x14ac:dyDescent="0.2">
      <c r="A91" s="1" t="s">
        <v>410</v>
      </c>
    </row>
    <row r="92" spans="1:9" x14ac:dyDescent="0.2">
      <c r="A92" s="1" t="s">
        <v>411</v>
      </c>
    </row>
    <row r="94" spans="1:9" x14ac:dyDescent="0.2">
      <c r="A94" s="1" t="s">
        <v>146</v>
      </c>
    </row>
    <row r="96" spans="1:9" x14ac:dyDescent="0.2">
      <c r="A96" s="406" t="s">
        <v>3033</v>
      </c>
    </row>
    <row r="97" spans="1:7" x14ac:dyDescent="0.2">
      <c r="A97" s="1" t="s">
        <v>413</v>
      </c>
    </row>
    <row r="100" spans="1:7" x14ac:dyDescent="0.2">
      <c r="A100" s="1" t="s">
        <v>465</v>
      </c>
    </row>
    <row r="101" spans="1:7" x14ac:dyDescent="0.2">
      <c r="A101" s="1" t="s">
        <v>466</v>
      </c>
    </row>
    <row r="102" spans="1:7" x14ac:dyDescent="0.2">
      <c r="A102" s="1" t="s">
        <v>467</v>
      </c>
    </row>
    <row r="103" spans="1:7" x14ac:dyDescent="0.2">
      <c r="A103" s="1" t="s">
        <v>468</v>
      </c>
      <c r="D103" s="1" t="s">
        <v>469</v>
      </c>
      <c r="E103" s="1" t="s">
        <v>462</v>
      </c>
    </row>
    <row r="104" spans="1:7" x14ac:dyDescent="0.2">
      <c r="D104" s="1" t="s">
        <v>470</v>
      </c>
      <c r="E104" s="1" t="s">
        <v>463</v>
      </c>
    </row>
    <row r="105" spans="1:7" x14ac:dyDescent="0.2">
      <c r="D105" s="1" t="s">
        <v>471</v>
      </c>
      <c r="E105" s="1" t="s">
        <v>464</v>
      </c>
    </row>
    <row r="106" spans="1:7" x14ac:dyDescent="0.2">
      <c r="D106" s="1" t="s">
        <v>472</v>
      </c>
      <c r="G106" s="406" t="s">
        <v>3034</v>
      </c>
    </row>
    <row r="107" spans="1:7" x14ac:dyDescent="0.2">
      <c r="G107" s="406" t="s">
        <v>3035</v>
      </c>
    </row>
    <row r="108" spans="1:7" x14ac:dyDescent="0.2">
      <c r="C108" s="66">
        <f>500000/96*(96-54)</f>
        <v>218750</v>
      </c>
      <c r="G108" s="406" t="s">
        <v>3036</v>
      </c>
    </row>
    <row r="109" spans="1:7" x14ac:dyDescent="0.2">
      <c r="G109" s="406" t="s">
        <v>3037</v>
      </c>
    </row>
    <row r="110" spans="1:7" x14ac:dyDescent="0.2">
      <c r="G110" s="406" t="s">
        <v>3038</v>
      </c>
    </row>
    <row r="111" spans="1:7" x14ac:dyDescent="0.2">
      <c r="A111" s="1" t="s">
        <v>473</v>
      </c>
    </row>
    <row r="113" spans="1:8" x14ac:dyDescent="0.2">
      <c r="A113" s="428" t="s">
        <v>3039</v>
      </c>
      <c r="B113" s="429"/>
      <c r="C113" s="429"/>
      <c r="D113" s="429"/>
      <c r="E113" s="429"/>
      <c r="F113" s="429"/>
      <c r="G113" s="429"/>
      <c r="H113" s="429"/>
    </row>
    <row r="114" spans="1:8" x14ac:dyDescent="0.2">
      <c r="A114" s="406" t="s">
        <v>3040</v>
      </c>
    </row>
    <row r="115" spans="1:8" x14ac:dyDescent="0.2">
      <c r="A115" s="406" t="s">
        <v>3041</v>
      </c>
    </row>
    <row r="116" spans="1:8" x14ac:dyDescent="0.2">
      <c r="A116" s="406" t="s">
        <v>568</v>
      </c>
    </row>
    <row r="117" spans="1:8" x14ac:dyDescent="0.2">
      <c r="A117" s="406" t="s">
        <v>3042</v>
      </c>
    </row>
    <row r="119" spans="1:8" x14ac:dyDescent="0.2">
      <c r="A119" s="406" t="s">
        <v>3043</v>
      </c>
      <c r="E119" s="32">
        <f>100000/120</f>
        <v>833.33333333333337</v>
      </c>
      <c r="G119" s="406" t="s">
        <v>3044</v>
      </c>
    </row>
    <row r="120" spans="1:8" x14ac:dyDescent="0.2">
      <c r="A120" s="406" t="s">
        <v>3045</v>
      </c>
    </row>
    <row r="121" spans="1:8" x14ac:dyDescent="0.2">
      <c r="A121" s="406" t="s">
        <v>3046</v>
      </c>
    </row>
    <row r="122" spans="1:8" x14ac:dyDescent="0.2">
      <c r="B122" s="406" t="s">
        <v>3047</v>
      </c>
    </row>
    <row r="124" spans="1:8" x14ac:dyDescent="0.2">
      <c r="A124" s="406" t="s">
        <v>3048</v>
      </c>
    </row>
    <row r="125" spans="1:8" x14ac:dyDescent="0.2">
      <c r="G125" s="406" t="s">
        <v>3049</v>
      </c>
    </row>
    <row r="126" spans="1:8" x14ac:dyDescent="0.2">
      <c r="D126" s="1">
        <f>E119*(120-47)</f>
        <v>60833.333333333336</v>
      </c>
      <c r="G126" s="406" t="s">
        <v>3050</v>
      </c>
    </row>
    <row r="128" spans="1:8" x14ac:dyDescent="0.2">
      <c r="A128" s="406" t="s">
        <v>3053</v>
      </c>
      <c r="E128" s="430">
        <f>D126*1%</f>
        <v>608.33333333333337</v>
      </c>
      <c r="G128" s="406" t="s">
        <v>3051</v>
      </c>
    </row>
    <row r="130" spans="1:9" x14ac:dyDescent="0.2">
      <c r="A130" s="406" t="s">
        <v>3052</v>
      </c>
      <c r="E130" s="90">
        <f>E119+E128</f>
        <v>1441.6666666666667</v>
      </c>
      <c r="G130" s="406" t="s">
        <v>3054</v>
      </c>
    </row>
    <row r="131" spans="1:9" ht="17" thickBot="1" x14ac:dyDescent="0.25"/>
    <row r="132" spans="1:9" ht="17" thickBot="1" x14ac:dyDescent="0.25">
      <c r="A132" s="60" t="s">
        <v>414</v>
      </c>
      <c r="B132" s="61"/>
      <c r="C132" s="61"/>
      <c r="D132" s="61"/>
      <c r="E132" s="61"/>
      <c r="F132" s="61"/>
      <c r="G132" s="61"/>
      <c r="H132" s="62">
        <v>2.2000000000000002</v>
      </c>
      <c r="I132" s="1" t="s">
        <v>1862</v>
      </c>
    </row>
    <row r="134" spans="1:9" x14ac:dyDescent="0.2">
      <c r="A134" s="1" t="s">
        <v>415</v>
      </c>
    </row>
    <row r="135" spans="1:9" x14ac:dyDescent="0.2">
      <c r="A135" s="1" t="s">
        <v>417</v>
      </c>
    </row>
    <row r="137" spans="1:9" x14ac:dyDescent="0.2">
      <c r="A137" s="1" t="s">
        <v>416</v>
      </c>
    </row>
    <row r="139" spans="1:9" x14ac:dyDescent="0.2">
      <c r="A139" s="18" t="s">
        <v>146</v>
      </c>
    </row>
    <row r="141" spans="1:9" x14ac:dyDescent="0.2">
      <c r="A141" s="1" t="s">
        <v>440</v>
      </c>
    </row>
    <row r="142" spans="1:9" x14ac:dyDescent="0.2">
      <c r="A142" s="1" t="s">
        <v>441</v>
      </c>
    </row>
    <row r="144" spans="1:9" x14ac:dyDescent="0.2">
      <c r="A144" s="1" t="s">
        <v>398</v>
      </c>
      <c r="E144" s="20" t="s">
        <v>60</v>
      </c>
    </row>
    <row r="145" spans="1:7" x14ac:dyDescent="0.2">
      <c r="E145" s="48" t="s">
        <v>75</v>
      </c>
      <c r="F145" s="1" t="s">
        <v>390</v>
      </c>
    </row>
    <row r="146" spans="1:7" x14ac:dyDescent="0.2">
      <c r="E146" s="48">
        <f>10*4</f>
        <v>40</v>
      </c>
      <c r="F146" s="1" t="s">
        <v>62</v>
      </c>
    </row>
    <row r="147" spans="1:7" x14ac:dyDescent="0.2">
      <c r="A147" s="1" t="s">
        <v>474</v>
      </c>
      <c r="E147" s="48">
        <f>8/4</f>
        <v>2</v>
      </c>
      <c r="F147" s="1" t="s">
        <v>63</v>
      </c>
    </row>
    <row r="148" spans="1:7" x14ac:dyDescent="0.2">
      <c r="E148" s="48">
        <v>200000</v>
      </c>
      <c r="F148" s="1" t="s">
        <v>64</v>
      </c>
    </row>
    <row r="149" spans="1:7" x14ac:dyDescent="0.2">
      <c r="E149" s="64">
        <f>PMT(E147/100,E146,E148,E150)</f>
        <v>-7311.1495594695007</v>
      </c>
      <c r="F149" s="1" t="s">
        <v>65</v>
      </c>
    </row>
    <row r="150" spans="1:7" x14ac:dyDescent="0.2">
      <c r="E150" s="48">
        <v>0</v>
      </c>
      <c r="F150" s="1" t="s">
        <v>66</v>
      </c>
    </row>
    <row r="152" spans="1:7" x14ac:dyDescent="0.2">
      <c r="A152" s="1" t="s">
        <v>399</v>
      </c>
    </row>
    <row r="153" spans="1:7" x14ac:dyDescent="0.2">
      <c r="A153" s="1" t="s">
        <v>400</v>
      </c>
    </row>
    <row r="154" spans="1:7" x14ac:dyDescent="0.2">
      <c r="A154" s="1" t="s">
        <v>401</v>
      </c>
    </row>
    <row r="155" spans="1:7" x14ac:dyDescent="0.2">
      <c r="A155" s="1" t="s">
        <v>402</v>
      </c>
    </row>
    <row r="157" spans="1:7" x14ac:dyDescent="0.2">
      <c r="F157" s="1" t="s">
        <v>436</v>
      </c>
    </row>
    <row r="158" spans="1:7" x14ac:dyDescent="0.2">
      <c r="A158" s="1" t="s">
        <v>475</v>
      </c>
      <c r="E158" s="20">
        <v>12</v>
      </c>
      <c r="F158" s="1" t="s">
        <v>437</v>
      </c>
    </row>
    <row r="159" spans="1:7" x14ac:dyDescent="0.2">
      <c r="A159" s="1" t="s">
        <v>475</v>
      </c>
      <c r="E159" s="20">
        <v>12</v>
      </c>
      <c r="F159" s="1" t="s">
        <v>438</v>
      </c>
    </row>
    <row r="160" spans="1:7" x14ac:dyDescent="0.2">
      <c r="E160" s="67">
        <v>155590</v>
      </c>
      <c r="F160" s="1" t="s">
        <v>439</v>
      </c>
      <c r="G160" s="1" t="s">
        <v>227</v>
      </c>
    </row>
    <row r="161" spans="1:9" ht="17" thickBot="1" x14ac:dyDescent="0.25"/>
    <row r="162" spans="1:9" ht="17" thickBot="1" x14ac:dyDescent="0.25">
      <c r="A162" s="60" t="s">
        <v>418</v>
      </c>
      <c r="B162" s="61"/>
      <c r="C162" s="61"/>
      <c r="D162" s="61"/>
      <c r="E162" s="61"/>
      <c r="F162" s="61"/>
      <c r="G162" s="61"/>
      <c r="H162" s="62">
        <v>2.6</v>
      </c>
      <c r="I162" s="1" t="s">
        <v>1862</v>
      </c>
    </row>
    <row r="164" spans="1:9" x14ac:dyDescent="0.2">
      <c r="A164" s="1" t="s">
        <v>419</v>
      </c>
    </row>
    <row r="165" spans="1:9" x14ac:dyDescent="0.2">
      <c r="A165" s="1" t="s">
        <v>420</v>
      </c>
    </row>
    <row r="166" spans="1:9" x14ac:dyDescent="0.2">
      <c r="A166" s="1" t="s">
        <v>421</v>
      </c>
    </row>
    <row r="167" spans="1:9" x14ac:dyDescent="0.2">
      <c r="A167" s="1" t="s">
        <v>422</v>
      </c>
    </row>
    <row r="169" spans="1:9" x14ac:dyDescent="0.2">
      <c r="A169" s="1" t="s">
        <v>423</v>
      </c>
    </row>
    <row r="170" spans="1:9" x14ac:dyDescent="0.2">
      <c r="A170" s="1" t="s">
        <v>424</v>
      </c>
    </row>
    <row r="172" spans="1:9" x14ac:dyDescent="0.2">
      <c r="A172" s="1" t="s">
        <v>425</v>
      </c>
    </row>
    <row r="175" spans="1:9" x14ac:dyDescent="0.2">
      <c r="A175" s="18" t="s">
        <v>146</v>
      </c>
    </row>
    <row r="177" spans="1:8" x14ac:dyDescent="0.2">
      <c r="A177" s="1" t="s">
        <v>476</v>
      </c>
    </row>
    <row r="178" spans="1:8" x14ac:dyDescent="0.2">
      <c r="A178" s="1" t="s">
        <v>477</v>
      </c>
    </row>
    <row r="179" spans="1:8" x14ac:dyDescent="0.2">
      <c r="A179" s="1" t="s">
        <v>478</v>
      </c>
    </row>
    <row r="180" spans="1:8" x14ac:dyDescent="0.2">
      <c r="A180" s="1" t="s">
        <v>479</v>
      </c>
    </row>
    <row r="182" spans="1:8" x14ac:dyDescent="0.2">
      <c r="A182" s="1" t="s">
        <v>480</v>
      </c>
    </row>
    <row r="183" spans="1:8" x14ac:dyDescent="0.2">
      <c r="A183" s="1" t="s">
        <v>481</v>
      </c>
    </row>
    <row r="184" spans="1:8" x14ac:dyDescent="0.2">
      <c r="A184" s="1" t="s">
        <v>482</v>
      </c>
    </row>
    <row r="185" spans="1:8" x14ac:dyDescent="0.2">
      <c r="A185" s="1" t="s">
        <v>483</v>
      </c>
    </row>
    <row r="186" spans="1:8" x14ac:dyDescent="0.2">
      <c r="A186" s="1" t="s">
        <v>484</v>
      </c>
    </row>
    <row r="188" spans="1:8" x14ac:dyDescent="0.2">
      <c r="A188" s="1" t="s">
        <v>485</v>
      </c>
    </row>
    <row r="189" spans="1:8" x14ac:dyDescent="0.2">
      <c r="A189" s="1" t="s">
        <v>486</v>
      </c>
    </row>
    <row r="190" spans="1:8" x14ac:dyDescent="0.2">
      <c r="F190" s="1" t="s">
        <v>497</v>
      </c>
      <c r="G190" s="1" t="s">
        <v>495</v>
      </c>
    </row>
    <row r="191" spans="1:8" x14ac:dyDescent="0.2">
      <c r="A191" s="1" t="s">
        <v>487</v>
      </c>
      <c r="B191" s="3">
        <v>400000</v>
      </c>
      <c r="F191" s="27" t="s">
        <v>496</v>
      </c>
      <c r="G191" s="27" t="s">
        <v>494</v>
      </c>
    </row>
    <row r="192" spans="1:8" x14ac:dyDescent="0.2">
      <c r="A192" s="1" t="s">
        <v>488</v>
      </c>
      <c r="B192" s="1">
        <v>15</v>
      </c>
      <c r="C192" s="1" t="s">
        <v>489</v>
      </c>
      <c r="F192" s="20" t="s">
        <v>75</v>
      </c>
      <c r="G192" s="20" t="s">
        <v>75</v>
      </c>
      <c r="H192" s="1" t="s">
        <v>390</v>
      </c>
    </row>
    <row r="193" spans="1:10" x14ac:dyDescent="0.2">
      <c r="A193" s="1" t="s">
        <v>490</v>
      </c>
      <c r="B193" s="1" t="s">
        <v>491</v>
      </c>
      <c r="F193" s="20">
        <f>15*12</f>
        <v>180</v>
      </c>
      <c r="G193" s="20">
        <v>24</v>
      </c>
      <c r="H193" s="1" t="s">
        <v>62</v>
      </c>
    </row>
    <row r="194" spans="1:10" x14ac:dyDescent="0.2">
      <c r="A194" s="1" t="s">
        <v>177</v>
      </c>
      <c r="B194" s="37">
        <v>0.12</v>
      </c>
      <c r="F194" s="20">
        <v>1</v>
      </c>
      <c r="G194" s="20">
        <v>1</v>
      </c>
      <c r="H194" s="1" t="s">
        <v>63</v>
      </c>
    </row>
    <row r="195" spans="1:10" x14ac:dyDescent="0.2">
      <c r="A195" s="1" t="s">
        <v>492</v>
      </c>
      <c r="B195" s="1" t="s">
        <v>493</v>
      </c>
      <c r="F195" s="30">
        <f>-G197</f>
        <v>507893.859412766</v>
      </c>
      <c r="G195" s="24">
        <f>B191</f>
        <v>400000</v>
      </c>
      <c r="H195" s="1" t="s">
        <v>64</v>
      </c>
    </row>
    <row r="196" spans="1:10" x14ac:dyDescent="0.2">
      <c r="F196" s="50">
        <f>PMT(F194/100,F193,F195,F197)</f>
        <v>-6095.57988999599</v>
      </c>
      <c r="G196" s="20">
        <v>0</v>
      </c>
      <c r="H196" s="1" t="s">
        <v>65</v>
      </c>
    </row>
    <row r="197" spans="1:10" x14ac:dyDescent="0.2">
      <c r="A197" s="18" t="s">
        <v>498</v>
      </c>
      <c r="F197" s="20">
        <v>0</v>
      </c>
      <c r="G197" s="30">
        <f>FV(G194/100,G193,G196,G195)</f>
        <v>-507893.859412766</v>
      </c>
      <c r="H197" s="1" t="s">
        <v>66</v>
      </c>
      <c r="I197" s="1" t="s">
        <v>77</v>
      </c>
    </row>
    <row r="199" spans="1:10" ht="18" x14ac:dyDescent="0.2">
      <c r="A199" s="230" t="s">
        <v>1863</v>
      </c>
    </row>
    <row r="200" spans="1:10" ht="17" thickBot="1" x14ac:dyDescent="0.25"/>
    <row r="201" spans="1:10" ht="24" thickBot="1" x14ac:dyDescent="0.3">
      <c r="A201" s="231" t="s">
        <v>3061</v>
      </c>
      <c r="B201" s="232"/>
      <c r="C201" s="232"/>
      <c r="D201" s="232"/>
      <c r="E201" s="232"/>
      <c r="F201" s="232"/>
      <c r="G201" s="232"/>
      <c r="H201" s="233"/>
      <c r="J201" s="52" t="s">
        <v>3060</v>
      </c>
    </row>
    <row r="203" spans="1:10" x14ac:dyDescent="0.2">
      <c r="A203" s="1" t="s">
        <v>3062</v>
      </c>
    </row>
    <row r="204" spans="1:10" x14ac:dyDescent="0.2">
      <c r="A204" s="18" t="s">
        <v>3063</v>
      </c>
      <c r="B204" s="18"/>
      <c r="C204" s="18"/>
      <c r="D204" s="18"/>
      <c r="E204" s="18"/>
      <c r="F204" s="18"/>
      <c r="G204" s="18"/>
      <c r="H204" s="18"/>
    </row>
    <row r="205" spans="1:10" x14ac:dyDescent="0.2">
      <c r="A205" s="18" t="s">
        <v>1864</v>
      </c>
      <c r="B205" s="18"/>
      <c r="C205" s="18"/>
      <c r="D205" s="18"/>
      <c r="E205" s="18"/>
      <c r="F205" s="18"/>
      <c r="G205" s="18"/>
      <c r="H205" s="18"/>
    </row>
    <row r="206" spans="1:10" x14ac:dyDescent="0.2">
      <c r="A206" s="1" t="s">
        <v>3064</v>
      </c>
    </row>
    <row r="208" spans="1:10" x14ac:dyDescent="0.2">
      <c r="A208" s="1" t="s">
        <v>3065</v>
      </c>
    </row>
    <row r="209" spans="1:15" x14ac:dyDescent="0.2">
      <c r="A209" s="1" t="s">
        <v>3066</v>
      </c>
    </row>
    <row r="210" spans="1:15" x14ac:dyDescent="0.2">
      <c r="A210" s="1" t="s">
        <v>3067</v>
      </c>
    </row>
    <row r="211" spans="1:15" x14ac:dyDescent="0.2">
      <c r="A211" s="1" t="s">
        <v>3068</v>
      </c>
    </row>
    <row r="212" spans="1:15" x14ac:dyDescent="0.2">
      <c r="G212" s="1" t="s">
        <v>3069</v>
      </c>
    </row>
    <row r="213" spans="1:15" ht="17" thickBot="1" x14ac:dyDescent="0.25"/>
    <row r="214" spans="1:15" ht="17" thickBot="1" x14ac:dyDescent="0.25">
      <c r="A214" s="60" t="s">
        <v>3071</v>
      </c>
      <c r="B214" s="61"/>
      <c r="C214" s="61"/>
      <c r="D214" s="61"/>
      <c r="E214" s="61"/>
      <c r="F214" s="61"/>
      <c r="G214" s="61"/>
      <c r="H214" s="62">
        <v>2.5</v>
      </c>
      <c r="I214" s="1" t="s">
        <v>3070</v>
      </c>
    </row>
    <row r="216" spans="1:15" x14ac:dyDescent="0.2">
      <c r="A216" s="1" t="s">
        <v>426</v>
      </c>
    </row>
    <row r="217" spans="1:15" x14ac:dyDescent="0.2">
      <c r="A217" s="1" t="s">
        <v>427</v>
      </c>
    </row>
    <row r="219" spans="1:15" ht="17" thickBot="1" x14ac:dyDescent="0.25">
      <c r="A219" s="1" t="s">
        <v>146</v>
      </c>
    </row>
    <row r="220" spans="1:15" x14ac:dyDescent="0.2">
      <c r="A220" s="1" t="s">
        <v>1865</v>
      </c>
      <c r="I220" s="432" t="s">
        <v>3084</v>
      </c>
      <c r="J220" s="433"/>
      <c r="K220" s="433"/>
      <c r="L220" s="433"/>
      <c r="M220" s="433"/>
      <c r="N220" s="433"/>
      <c r="O220" s="434"/>
    </row>
    <row r="221" spans="1:15" x14ac:dyDescent="0.2">
      <c r="A221" s="1" t="s">
        <v>1866</v>
      </c>
      <c r="I221" s="72"/>
      <c r="O221" s="73"/>
    </row>
    <row r="222" spans="1:15" x14ac:dyDescent="0.2">
      <c r="A222" s="1" t="s">
        <v>1867</v>
      </c>
      <c r="I222" s="72" t="s">
        <v>3076</v>
      </c>
      <c r="O222" s="73"/>
    </row>
    <row r="223" spans="1:15" x14ac:dyDescent="0.2">
      <c r="A223" s="1" t="s">
        <v>1868</v>
      </c>
      <c r="I223" s="72"/>
      <c r="O223" s="73"/>
    </row>
    <row r="224" spans="1:15" x14ac:dyDescent="0.2">
      <c r="I224" s="72"/>
      <c r="O224" s="73"/>
    </row>
    <row r="225" spans="3:15" x14ac:dyDescent="0.2">
      <c r="C225" s="134" t="s">
        <v>1869</v>
      </c>
      <c r="D225" s="116"/>
      <c r="E225" s="116"/>
      <c r="I225" s="72" t="s">
        <v>3072</v>
      </c>
      <c r="O225" s="73"/>
    </row>
    <row r="226" spans="3:15" x14ac:dyDescent="0.2">
      <c r="C226" s="116"/>
      <c r="D226" s="115"/>
      <c r="E226" s="116"/>
      <c r="I226" s="72"/>
      <c r="O226" s="73"/>
    </row>
    <row r="227" spans="3:15" x14ac:dyDescent="0.2">
      <c r="C227" s="48">
        <v>5</v>
      </c>
      <c r="D227" s="115"/>
      <c r="E227" s="48">
        <v>2</v>
      </c>
      <c r="I227" s="72"/>
      <c r="O227" s="73"/>
    </row>
    <row r="228" spans="3:15" x14ac:dyDescent="0.2">
      <c r="C228" s="119">
        <v>1200</v>
      </c>
      <c r="D228" s="115"/>
      <c r="E228" s="119">
        <v>1000</v>
      </c>
      <c r="I228" s="72"/>
      <c r="O228" s="73"/>
    </row>
    <row r="229" spans="3:15" x14ac:dyDescent="0.2">
      <c r="C229" s="48" t="s">
        <v>499</v>
      </c>
      <c r="D229" s="218"/>
      <c r="E229" s="48" t="s">
        <v>499</v>
      </c>
      <c r="I229" s="72" t="s">
        <v>3073</v>
      </c>
      <c r="O229" s="73"/>
    </row>
    <row r="230" spans="3:15" x14ac:dyDescent="0.2">
      <c r="C230" s="48" t="s">
        <v>500</v>
      </c>
      <c r="D230" s="218"/>
      <c r="E230" s="48" t="s">
        <v>500</v>
      </c>
      <c r="I230" s="72" t="s">
        <v>3074</v>
      </c>
      <c r="O230" s="73"/>
    </row>
    <row r="231" spans="3:15" x14ac:dyDescent="0.2">
      <c r="C231" s="48" t="s">
        <v>502</v>
      </c>
      <c r="D231" s="218"/>
      <c r="E231" s="48" t="s">
        <v>501</v>
      </c>
      <c r="I231" s="72" t="s">
        <v>3075</v>
      </c>
      <c r="O231" s="73"/>
    </row>
    <row r="232" spans="3:15" x14ac:dyDescent="0.2">
      <c r="C232" s="218" t="s">
        <v>503</v>
      </c>
      <c r="D232" s="218"/>
      <c r="E232" s="218"/>
      <c r="I232" s="72"/>
      <c r="O232" s="73"/>
    </row>
    <row r="233" spans="3:15" x14ac:dyDescent="0.2">
      <c r="I233" s="72"/>
      <c r="O233" s="73"/>
    </row>
    <row r="234" spans="3:15" x14ac:dyDescent="0.2">
      <c r="C234" s="1" t="s">
        <v>504</v>
      </c>
      <c r="I234" s="72"/>
      <c r="O234" s="73"/>
    </row>
    <row r="235" spans="3:15" x14ac:dyDescent="0.2">
      <c r="C235" s="1" t="s">
        <v>505</v>
      </c>
      <c r="I235" s="72" t="s">
        <v>3077</v>
      </c>
      <c r="O235" s="73"/>
    </row>
    <row r="236" spans="3:15" x14ac:dyDescent="0.2">
      <c r="I236" s="72" t="s">
        <v>3078</v>
      </c>
      <c r="O236" s="73"/>
    </row>
    <row r="237" spans="3:15" x14ac:dyDescent="0.2">
      <c r="C237" s="1" t="s">
        <v>506</v>
      </c>
      <c r="I237" s="72" t="s">
        <v>3079</v>
      </c>
      <c r="O237" s="73"/>
    </row>
    <row r="238" spans="3:15" x14ac:dyDescent="0.2">
      <c r="I238" s="72"/>
      <c r="O238" s="73"/>
    </row>
    <row r="239" spans="3:15" x14ac:dyDescent="0.2">
      <c r="C239" s="1" t="s">
        <v>246</v>
      </c>
      <c r="I239" s="72"/>
      <c r="O239" s="73"/>
    </row>
    <row r="240" spans="3:15" x14ac:dyDescent="0.2">
      <c r="I240" s="72"/>
      <c r="O240" s="73"/>
    </row>
    <row r="241" spans="1:15" x14ac:dyDescent="0.2">
      <c r="A241" s="1" t="s">
        <v>507</v>
      </c>
      <c r="I241" s="72" t="s">
        <v>3080</v>
      </c>
      <c r="O241" s="73"/>
    </row>
    <row r="242" spans="1:15" x14ac:dyDescent="0.2">
      <c r="A242" s="1" t="s">
        <v>508</v>
      </c>
      <c r="I242" s="72" t="s">
        <v>3081</v>
      </c>
      <c r="O242" s="73"/>
    </row>
    <row r="243" spans="1:15" x14ac:dyDescent="0.2">
      <c r="A243" s="1" t="s">
        <v>1870</v>
      </c>
      <c r="I243" s="72" t="s">
        <v>3082</v>
      </c>
      <c r="O243" s="73"/>
    </row>
    <row r="244" spans="1:15" ht="17" thickBot="1" x14ac:dyDescent="0.25">
      <c r="I244" s="15" t="s">
        <v>3083</v>
      </c>
      <c r="J244" s="16"/>
      <c r="K244" s="16"/>
      <c r="L244" s="16"/>
      <c r="M244" s="16"/>
      <c r="N244" s="16"/>
      <c r="O244" s="17"/>
    </row>
    <row r="246" spans="1:15" x14ac:dyDescent="0.2">
      <c r="C246" s="1" t="s">
        <v>509</v>
      </c>
    </row>
    <row r="247" spans="1:15" x14ac:dyDescent="0.2">
      <c r="C247" s="1" t="s">
        <v>510</v>
      </c>
    </row>
    <row r="248" spans="1:15" x14ac:dyDescent="0.2">
      <c r="C248" s="1" t="s">
        <v>511</v>
      </c>
    </row>
    <row r="250" spans="1:15" x14ac:dyDescent="0.2">
      <c r="C250" s="1" t="s">
        <v>512</v>
      </c>
    </row>
    <row r="253" spans="1:15" x14ac:dyDescent="0.2">
      <c r="A253" s="1" t="s">
        <v>513</v>
      </c>
      <c r="C253" s="234">
        <f>1.2^4-1</f>
        <v>1.0735999999999999</v>
      </c>
    </row>
    <row r="255" spans="1:15" x14ac:dyDescent="0.2">
      <c r="A255" s="18" t="s">
        <v>514</v>
      </c>
    </row>
    <row r="256" spans="1:15" x14ac:dyDescent="0.2">
      <c r="A256" s="18" t="s">
        <v>515</v>
      </c>
    </row>
    <row r="258" spans="1:17" x14ac:dyDescent="0.2">
      <c r="A258" s="1" t="s">
        <v>516</v>
      </c>
    </row>
    <row r="259" spans="1:17" x14ac:dyDescent="0.2">
      <c r="A259" s="1" t="s">
        <v>517</v>
      </c>
    </row>
    <row r="260" spans="1:17" x14ac:dyDescent="0.2">
      <c r="J260" s="1" t="s">
        <v>3091</v>
      </c>
    </row>
    <row r="261" spans="1:17" ht="17" thickBot="1" x14ac:dyDescent="0.25"/>
    <row r="262" spans="1:17" ht="17" thickBot="1" x14ac:dyDescent="0.25">
      <c r="A262" s="60" t="s">
        <v>3086</v>
      </c>
      <c r="B262" s="61"/>
      <c r="C262" s="61"/>
      <c r="D262" s="61"/>
      <c r="E262" s="61"/>
      <c r="F262" s="61"/>
      <c r="G262" s="61"/>
      <c r="H262" s="62">
        <v>2.2999999999999998</v>
      </c>
      <c r="J262" s="1" t="s">
        <v>1511</v>
      </c>
      <c r="M262" s="52" t="s">
        <v>3085</v>
      </c>
    </row>
    <row r="264" spans="1:17" x14ac:dyDescent="0.2">
      <c r="A264" s="1" t="s">
        <v>3087</v>
      </c>
      <c r="J264" s="20">
        <v>1</v>
      </c>
      <c r="K264" s="20">
        <v>0.5</v>
      </c>
      <c r="L264" s="20">
        <v>0</v>
      </c>
      <c r="M264" s="1" t="s">
        <v>739</v>
      </c>
    </row>
    <row r="265" spans="1:17" x14ac:dyDescent="0.2">
      <c r="A265" s="18" t="s">
        <v>3088</v>
      </c>
      <c r="E265" s="68"/>
    </row>
    <row r="266" spans="1:17" x14ac:dyDescent="0.2">
      <c r="A266" s="52" t="s">
        <v>3098</v>
      </c>
      <c r="E266" s="68"/>
      <c r="L266" s="46" t="s">
        <v>3094</v>
      </c>
    </row>
    <row r="267" spans="1:17" x14ac:dyDescent="0.2">
      <c r="A267" s="1" t="s">
        <v>62</v>
      </c>
      <c r="B267" s="18" t="s">
        <v>1871</v>
      </c>
      <c r="E267" s="68"/>
    </row>
    <row r="268" spans="1:17" x14ac:dyDescent="0.2">
      <c r="A268" s="1" t="s">
        <v>1385</v>
      </c>
      <c r="B268" s="18" t="s">
        <v>1872</v>
      </c>
      <c r="E268" s="68"/>
      <c r="K268" s="1" t="s">
        <v>3097</v>
      </c>
      <c r="L268" s="1" t="s">
        <v>3092</v>
      </c>
      <c r="O268" s="1" t="s">
        <v>3095</v>
      </c>
    </row>
    <row r="269" spans="1:17" x14ac:dyDescent="0.2">
      <c r="E269" s="68"/>
      <c r="L269" s="1" t="s">
        <v>3093</v>
      </c>
      <c r="O269" s="1" t="s">
        <v>3096</v>
      </c>
    </row>
    <row r="270" spans="1:17" ht="35" customHeight="1" x14ac:dyDescent="0.2">
      <c r="A270" s="18" t="s">
        <v>3089</v>
      </c>
      <c r="E270" s="68"/>
      <c r="F270" s="168">
        <f>(1+6%/12)^12-1</f>
        <v>6.1677811864497611E-2</v>
      </c>
    </row>
    <row r="271" spans="1:17" ht="52" customHeight="1" x14ac:dyDescent="0.2">
      <c r="A271" s="18" t="s">
        <v>3090</v>
      </c>
      <c r="E271" s="68"/>
      <c r="F271" s="168">
        <f>(1+12%/4)^4-1</f>
        <v>0.12550880999999992</v>
      </c>
      <c r="K271" s="466" t="s">
        <v>3103</v>
      </c>
      <c r="L271" s="466"/>
      <c r="M271" s="435">
        <f>1.03^3-1</f>
        <v>9.2727000000000004E-2</v>
      </c>
      <c r="N271" s="436"/>
      <c r="O271" s="436"/>
      <c r="P271" s="436"/>
    </row>
    <row r="272" spans="1:17" ht="35" customHeight="1" x14ac:dyDescent="0.2">
      <c r="A272" s="18" t="s">
        <v>428</v>
      </c>
      <c r="E272" s="68">
        <f>(1+3%)^12-1</f>
        <v>0.42576088684617863</v>
      </c>
      <c r="J272" s="464" t="s">
        <v>3099</v>
      </c>
      <c r="K272" s="465"/>
      <c r="L272" s="465"/>
      <c r="M272" s="465"/>
      <c r="N272" s="465"/>
      <c r="O272" s="465"/>
      <c r="P272" s="465"/>
      <c r="Q272" s="465"/>
    </row>
    <row r="273" spans="1:15" ht="37" customHeight="1" x14ac:dyDescent="0.2">
      <c r="A273" s="18" t="s">
        <v>429</v>
      </c>
      <c r="E273" s="68">
        <f>(1+5%)^2-1</f>
        <v>0.10250000000000004</v>
      </c>
    </row>
    <row r="274" spans="1:15" ht="45" customHeight="1" x14ac:dyDescent="0.2">
      <c r="A274" s="18" t="s">
        <v>430</v>
      </c>
      <c r="J274" s="236">
        <v>1</v>
      </c>
      <c r="L274" s="236">
        <v>0</v>
      </c>
      <c r="O274" s="1" t="s">
        <v>3102</v>
      </c>
    </row>
    <row r="275" spans="1:15" ht="23" customHeight="1" x14ac:dyDescent="0.2">
      <c r="I275" s="1" t="s">
        <v>1877</v>
      </c>
      <c r="J275" s="217">
        <v>100</v>
      </c>
      <c r="K275" s="235"/>
      <c r="L275" s="236">
        <v>100</v>
      </c>
      <c r="M275" s="235" t="s">
        <v>1874</v>
      </c>
      <c r="O275" s="1" t="s">
        <v>3100</v>
      </c>
    </row>
    <row r="276" spans="1:15" ht="20" customHeight="1" thickBot="1" x14ac:dyDescent="0.25">
      <c r="A276" s="1" t="s">
        <v>1353</v>
      </c>
      <c r="B276" s="20" t="s">
        <v>1388</v>
      </c>
      <c r="C276" s="1" t="s">
        <v>1878</v>
      </c>
      <c r="L276" s="236">
        <v>-10</v>
      </c>
      <c r="M276" s="1" t="s">
        <v>1875</v>
      </c>
      <c r="O276" s="1" t="s">
        <v>3101</v>
      </c>
    </row>
    <row r="277" spans="1:15" ht="22" customHeight="1" thickBot="1" x14ac:dyDescent="0.25">
      <c r="L277" s="237">
        <f>L275+L276</f>
        <v>90</v>
      </c>
      <c r="M277" s="235" t="s">
        <v>1876</v>
      </c>
    </row>
    <row r="278" spans="1:15" ht="45" customHeight="1" x14ac:dyDescent="0.2">
      <c r="G278" s="235"/>
      <c r="L278" s="236"/>
    </row>
    <row r="279" spans="1:15" ht="46" customHeight="1" x14ac:dyDescent="0.2">
      <c r="A279" s="1" t="s">
        <v>1873</v>
      </c>
      <c r="E279" s="68"/>
      <c r="F279" s="168">
        <f>(1+6%/6)^12-1</f>
        <v>0.12682503013196977</v>
      </c>
      <c r="I279" s="1" t="s">
        <v>3104</v>
      </c>
    </row>
    <row r="281" spans="1:15" x14ac:dyDescent="0.2">
      <c r="A281" s="1" t="s">
        <v>518</v>
      </c>
    </row>
    <row r="282" spans="1:15" x14ac:dyDescent="0.2">
      <c r="A282" s="1" t="s">
        <v>519</v>
      </c>
      <c r="I282" s="1" t="s">
        <v>1382</v>
      </c>
      <c r="J282" s="1" t="s">
        <v>3105</v>
      </c>
    </row>
    <row r="283" spans="1:15" x14ac:dyDescent="0.2">
      <c r="A283" s="1" t="s">
        <v>520</v>
      </c>
      <c r="I283" s="1" t="s">
        <v>62</v>
      </c>
      <c r="J283" s="1" t="s">
        <v>3106</v>
      </c>
    </row>
    <row r="284" spans="1:15" x14ac:dyDescent="0.2">
      <c r="A284" s="1" t="s">
        <v>521</v>
      </c>
      <c r="I284" s="1" t="s">
        <v>1385</v>
      </c>
      <c r="J284" s="1" t="s">
        <v>3107</v>
      </c>
    </row>
    <row r="286" spans="1:15" x14ac:dyDescent="0.2">
      <c r="A286" s="1" t="s">
        <v>522</v>
      </c>
    </row>
    <row r="287" spans="1:15" x14ac:dyDescent="0.2">
      <c r="A287" s="1" t="s">
        <v>523</v>
      </c>
    </row>
    <row r="289" spans="1:7" x14ac:dyDescent="0.2">
      <c r="A289" s="1" t="s">
        <v>524</v>
      </c>
    </row>
    <row r="290" spans="1:7" x14ac:dyDescent="0.2">
      <c r="A290" s="1" t="s">
        <v>525</v>
      </c>
    </row>
    <row r="291" spans="1:7" x14ac:dyDescent="0.2">
      <c r="A291" s="1" t="s">
        <v>526</v>
      </c>
    </row>
    <row r="292" spans="1:7" x14ac:dyDescent="0.2">
      <c r="B292" s="20"/>
      <c r="C292" s="20"/>
      <c r="D292" s="20"/>
      <c r="E292" s="20"/>
      <c r="F292" s="20"/>
    </row>
    <row r="293" spans="1:7" x14ac:dyDescent="0.2">
      <c r="B293" s="20"/>
      <c r="C293" s="20">
        <v>1</v>
      </c>
      <c r="D293" s="20"/>
      <c r="E293" s="20"/>
      <c r="F293" s="20">
        <v>0</v>
      </c>
    </row>
    <row r="294" spans="1:7" x14ac:dyDescent="0.2">
      <c r="B294" s="20"/>
      <c r="C294" s="69">
        <v>-100</v>
      </c>
      <c r="D294" s="20" t="s">
        <v>530</v>
      </c>
      <c r="E294" s="20"/>
      <c r="F294" s="20">
        <v>100</v>
      </c>
      <c r="G294" s="1" t="s">
        <v>527</v>
      </c>
    </row>
    <row r="295" spans="1:7" x14ac:dyDescent="0.2">
      <c r="B295" s="20"/>
      <c r="C295" s="20"/>
      <c r="D295" s="20"/>
      <c r="E295" s="20"/>
      <c r="F295" s="20">
        <f>-10%*F294</f>
        <v>-10</v>
      </c>
      <c r="G295" s="1" t="s">
        <v>528</v>
      </c>
    </row>
    <row r="296" spans="1:7" x14ac:dyDescent="0.2">
      <c r="B296" s="20"/>
      <c r="C296" s="20"/>
      <c r="D296" s="20"/>
      <c r="E296" s="20"/>
      <c r="F296" s="69">
        <f>F294+F295</f>
        <v>90</v>
      </c>
      <c r="G296" s="1" t="s">
        <v>529</v>
      </c>
    </row>
    <row r="301" spans="1:7" x14ac:dyDescent="0.2">
      <c r="A301" s="1" t="s">
        <v>531</v>
      </c>
    </row>
    <row r="302" spans="1:7" x14ac:dyDescent="0.2">
      <c r="D302" s="70"/>
    </row>
    <row r="309" spans="1:9" ht="17" thickBot="1" x14ac:dyDescent="0.25"/>
    <row r="310" spans="1:9" ht="17" thickBot="1" x14ac:dyDescent="0.25">
      <c r="A310" s="60" t="s">
        <v>431</v>
      </c>
      <c r="B310" s="61"/>
      <c r="C310" s="61"/>
      <c r="D310" s="61"/>
      <c r="E310" s="61"/>
      <c r="F310" s="61"/>
      <c r="G310" s="61"/>
      <c r="H310" s="62">
        <v>2.4</v>
      </c>
      <c r="I310" s="18" t="s">
        <v>3108</v>
      </c>
    </row>
    <row r="312" spans="1:9" x14ac:dyDescent="0.2">
      <c r="A312" s="1" t="s">
        <v>3119</v>
      </c>
    </row>
    <row r="313" spans="1:9" x14ac:dyDescent="0.2">
      <c r="A313" s="52" t="s">
        <v>432</v>
      </c>
    </row>
    <row r="315" spans="1:9" x14ac:dyDescent="0.2">
      <c r="A315" s="1" t="s">
        <v>146</v>
      </c>
    </row>
    <row r="316" spans="1:9" s="116" customFormat="1" x14ac:dyDescent="0.2"/>
    <row r="317" spans="1:9" s="116" customFormat="1" x14ac:dyDescent="0.2">
      <c r="A317" s="116" t="s">
        <v>3109</v>
      </c>
    </row>
    <row r="318" spans="1:9" s="116" customFormat="1" x14ac:dyDescent="0.2">
      <c r="B318" s="116" t="s">
        <v>3110</v>
      </c>
    </row>
    <row r="319" spans="1:9" s="116" customFormat="1" x14ac:dyDescent="0.2">
      <c r="B319" s="116" t="s">
        <v>3111</v>
      </c>
    </row>
    <row r="320" spans="1:9" s="116" customFormat="1" x14ac:dyDescent="0.2">
      <c r="B320" s="116" t="s">
        <v>3112</v>
      </c>
    </row>
    <row r="321" spans="1:11" s="116" customFormat="1" x14ac:dyDescent="0.2">
      <c r="B321" s="116" t="s">
        <v>3113</v>
      </c>
    </row>
    <row r="322" spans="1:11" s="116" customFormat="1" x14ac:dyDescent="0.2"/>
    <row r="323" spans="1:11" s="116" customFormat="1" x14ac:dyDescent="0.2">
      <c r="B323" s="116" t="s">
        <v>3114</v>
      </c>
    </row>
    <row r="324" spans="1:11" s="116" customFormat="1" ht="17" thickBot="1" x14ac:dyDescent="0.25">
      <c r="B324" s="116" t="s">
        <v>3115</v>
      </c>
    </row>
    <row r="325" spans="1:11" s="116" customFormat="1" x14ac:dyDescent="0.2">
      <c r="B325" s="282"/>
      <c r="C325" s="283"/>
      <c r="D325" s="283"/>
      <c r="E325" s="283"/>
      <c r="F325" s="283"/>
      <c r="G325" s="283"/>
      <c r="H325" s="283"/>
      <c r="I325" s="283"/>
      <c r="J325" s="283"/>
      <c r="K325" s="284"/>
    </row>
    <row r="326" spans="1:11" s="116" customFormat="1" x14ac:dyDescent="0.2">
      <c r="B326" s="285" t="s">
        <v>3116</v>
      </c>
      <c r="H326" s="437" t="s">
        <v>3117</v>
      </c>
      <c r="I326" s="116" t="s">
        <v>3118</v>
      </c>
      <c r="K326" s="286"/>
    </row>
    <row r="327" spans="1:11" s="116" customFormat="1" x14ac:dyDescent="0.2">
      <c r="B327" s="285"/>
      <c r="K327" s="286"/>
    </row>
    <row r="328" spans="1:11" s="116" customFormat="1" ht="17" thickBot="1" x14ac:dyDescent="0.25">
      <c r="B328" s="288"/>
      <c r="C328" s="289"/>
      <c r="D328" s="289"/>
      <c r="E328" s="289"/>
      <c r="F328" s="289"/>
      <c r="G328" s="289"/>
      <c r="H328" s="289"/>
      <c r="I328" s="289"/>
      <c r="J328" s="289"/>
      <c r="K328" s="290"/>
    </row>
    <row r="329" spans="1:11" s="116" customFormat="1" x14ac:dyDescent="0.2"/>
    <row r="330" spans="1:11" s="116" customFormat="1" x14ac:dyDescent="0.2">
      <c r="A330" s="116" t="s">
        <v>532</v>
      </c>
    </row>
    <row r="331" spans="1:11" s="116" customFormat="1" x14ac:dyDescent="0.2">
      <c r="B331" s="116" t="s">
        <v>533</v>
      </c>
    </row>
    <row r="332" spans="1:11" s="116" customFormat="1" x14ac:dyDescent="0.2"/>
    <row r="333" spans="1:11" s="116" customFormat="1" x14ac:dyDescent="0.2">
      <c r="B333" s="116" t="s">
        <v>534</v>
      </c>
      <c r="E333" s="116" t="s">
        <v>535</v>
      </c>
    </row>
    <row r="334" spans="1:11" s="116" customFormat="1" x14ac:dyDescent="0.2"/>
    <row r="335" spans="1:11" s="116" customFormat="1" x14ac:dyDescent="0.2">
      <c r="I335" s="238"/>
    </row>
    <row r="336" spans="1:11" s="116" customFormat="1" x14ac:dyDescent="0.2">
      <c r="E336" s="116" t="s">
        <v>538</v>
      </c>
    </row>
    <row r="337" spans="1:12" s="116" customFormat="1" x14ac:dyDescent="0.2">
      <c r="E337" s="116" t="s">
        <v>539</v>
      </c>
    </row>
    <row r="338" spans="1:12" s="116" customFormat="1" x14ac:dyDescent="0.2">
      <c r="A338" s="462">
        <f>(1+20%/12)^12-1</f>
        <v>0.21939108490523185</v>
      </c>
      <c r="E338" s="116" t="s">
        <v>540</v>
      </c>
    </row>
    <row r="339" spans="1:12" s="116" customFormat="1" x14ac:dyDescent="0.2">
      <c r="A339" s="462"/>
      <c r="E339" s="116" t="s">
        <v>541</v>
      </c>
    </row>
    <row r="340" spans="1:12" s="116" customFormat="1" x14ac:dyDescent="0.2"/>
    <row r="341" spans="1:12" s="116" customFormat="1" x14ac:dyDescent="0.2">
      <c r="A341" s="116" t="s">
        <v>536</v>
      </c>
    </row>
    <row r="342" spans="1:12" s="116" customFormat="1" x14ac:dyDescent="0.2">
      <c r="A342" s="116" t="s">
        <v>542</v>
      </c>
    </row>
    <row r="343" spans="1:12" x14ac:dyDescent="0.2">
      <c r="A343" s="1" t="s">
        <v>537</v>
      </c>
    </row>
    <row r="345" spans="1:12" x14ac:dyDescent="0.2">
      <c r="A345" s="2" t="s">
        <v>1879</v>
      </c>
      <c r="B345" s="2"/>
      <c r="C345" s="2"/>
      <c r="D345" s="2" t="s">
        <v>1891</v>
      </c>
      <c r="E345" s="2"/>
      <c r="F345" s="2"/>
      <c r="G345" s="2"/>
      <c r="H345" s="2"/>
    </row>
    <row r="346" spans="1:12" x14ac:dyDescent="0.2">
      <c r="J346" s="1" t="s">
        <v>3120</v>
      </c>
    </row>
    <row r="350" spans="1:12" x14ac:dyDescent="0.2">
      <c r="J350" s="1" t="s">
        <v>3121</v>
      </c>
      <c r="K350" s="20" t="s">
        <v>3123</v>
      </c>
      <c r="L350" s="1" t="s">
        <v>3124</v>
      </c>
    </row>
    <row r="351" spans="1:12" x14ac:dyDescent="0.2">
      <c r="K351" s="20" t="s">
        <v>3122</v>
      </c>
      <c r="L351" s="1" t="s">
        <v>3125</v>
      </c>
    </row>
    <row r="353" spans="1:16" x14ac:dyDescent="0.2">
      <c r="J353" s="1" t="s">
        <v>3126</v>
      </c>
    </row>
    <row r="354" spans="1:16" x14ac:dyDescent="0.2">
      <c r="L354" s="168">
        <f>1/0.7-1</f>
        <v>0.4285714285714286</v>
      </c>
    </row>
    <row r="356" spans="1:16" x14ac:dyDescent="0.2">
      <c r="J356" s="1" t="s">
        <v>3127</v>
      </c>
    </row>
    <row r="357" spans="1:16" x14ac:dyDescent="0.2">
      <c r="J357" s="1" t="s">
        <v>3128</v>
      </c>
    </row>
    <row r="358" spans="1:16" x14ac:dyDescent="0.2">
      <c r="C358" s="20">
        <v>5</v>
      </c>
      <c r="D358" s="20"/>
      <c r="E358" s="20"/>
      <c r="F358" s="20"/>
      <c r="G358" s="20">
        <v>0</v>
      </c>
    </row>
    <row r="359" spans="1:16" ht="17" thickBot="1" x14ac:dyDescent="0.25">
      <c r="C359" s="20"/>
      <c r="D359" s="20"/>
      <c r="E359" s="20"/>
      <c r="F359" s="20"/>
      <c r="G359" s="20"/>
      <c r="K359" s="75">
        <f>(1+L354)^0.2-1</f>
        <v>7.3940923785779322E-2</v>
      </c>
    </row>
    <row r="360" spans="1:16" ht="17" thickBot="1" x14ac:dyDescent="0.25">
      <c r="B360" s="1" t="s">
        <v>1883</v>
      </c>
      <c r="C360" s="239">
        <f>G360</f>
        <v>100</v>
      </c>
      <c r="D360" s="20"/>
      <c r="E360" s="20"/>
      <c r="F360" s="20"/>
      <c r="G360" s="20">
        <v>100</v>
      </c>
      <c r="H360" s="1" t="s">
        <v>1880</v>
      </c>
    </row>
    <row r="361" spans="1:16" ht="17" thickBot="1" x14ac:dyDescent="0.25">
      <c r="C361" s="20"/>
      <c r="D361" s="20"/>
      <c r="E361" s="20"/>
      <c r="F361" s="20"/>
      <c r="G361" s="20">
        <v>-30</v>
      </c>
      <c r="H361" s="1" t="s">
        <v>1881</v>
      </c>
      <c r="J361" s="12" t="s">
        <v>3129</v>
      </c>
      <c r="K361" s="13"/>
      <c r="L361" s="13"/>
      <c r="M361" s="13"/>
      <c r="N361" s="13"/>
      <c r="O361" s="13"/>
      <c r="P361" s="14"/>
    </row>
    <row r="362" spans="1:16" ht="17" thickBot="1" x14ac:dyDescent="0.25">
      <c r="G362" s="239">
        <f>G360+G361</f>
        <v>70</v>
      </c>
      <c r="H362" s="1" t="s">
        <v>1882</v>
      </c>
      <c r="J362" s="72" t="s">
        <v>3130</v>
      </c>
      <c r="P362" s="73"/>
    </row>
    <row r="363" spans="1:16" ht="17" thickBot="1" x14ac:dyDescent="0.25">
      <c r="J363" s="15" t="s">
        <v>3131</v>
      </c>
      <c r="K363" s="16"/>
      <c r="L363" s="16"/>
      <c r="M363" s="16"/>
      <c r="N363" s="16"/>
      <c r="O363" s="16"/>
      <c r="P363" s="17"/>
    </row>
    <row r="364" spans="1:16" x14ac:dyDescent="0.2">
      <c r="A364" s="1" t="s">
        <v>1884</v>
      </c>
    </row>
    <row r="365" spans="1:16" x14ac:dyDescent="0.2">
      <c r="A365" s="1" t="s">
        <v>1885</v>
      </c>
    </row>
    <row r="367" spans="1:16" x14ac:dyDescent="0.2">
      <c r="C367" s="68">
        <f>100/70-1</f>
        <v>0.4285714285714286</v>
      </c>
    </row>
    <row r="369" spans="1:2" x14ac:dyDescent="0.2">
      <c r="A369" s="1" t="s">
        <v>1886</v>
      </c>
    </row>
    <row r="371" spans="1:2" x14ac:dyDescent="0.2">
      <c r="A371" s="1" t="s">
        <v>1887</v>
      </c>
    </row>
    <row r="372" spans="1:2" x14ac:dyDescent="0.2">
      <c r="A372" s="1" t="s">
        <v>1888</v>
      </c>
    </row>
    <row r="378" spans="1:2" x14ac:dyDescent="0.2">
      <c r="B378" s="463">
        <f>(1+42.86%)^0.2-1</f>
        <v>7.3945219515108684E-2</v>
      </c>
    </row>
    <row r="379" spans="1:2" x14ac:dyDescent="0.2">
      <c r="B379" s="463"/>
    </row>
    <row r="381" spans="1:2" x14ac:dyDescent="0.2">
      <c r="A381" s="63" t="s">
        <v>1889</v>
      </c>
    </row>
    <row r="387" spans="1:8" x14ac:dyDescent="0.2">
      <c r="A387" s="1" t="s">
        <v>1890</v>
      </c>
    </row>
    <row r="398" spans="1:8" x14ac:dyDescent="0.2">
      <c r="C398" s="20">
        <v>2.5</v>
      </c>
      <c r="G398" s="20">
        <v>0</v>
      </c>
    </row>
    <row r="399" spans="1:8" x14ac:dyDescent="0.2">
      <c r="C399" s="20"/>
      <c r="G399" s="20"/>
    </row>
    <row r="400" spans="1:8" x14ac:dyDescent="0.2">
      <c r="B400" s="1" t="s">
        <v>1877</v>
      </c>
      <c r="C400" s="24">
        <v>112000</v>
      </c>
      <c r="G400" s="24">
        <v>100000</v>
      </c>
      <c r="H400" s="1" t="s">
        <v>1892</v>
      </c>
    </row>
    <row r="401" spans="1:10" x14ac:dyDescent="0.2">
      <c r="C401" s="20"/>
      <c r="G401" s="20"/>
    </row>
    <row r="402" spans="1:10" x14ac:dyDescent="0.2">
      <c r="A402" s="1" t="s">
        <v>1893</v>
      </c>
    </row>
    <row r="406" spans="1:10" x14ac:dyDescent="0.2">
      <c r="A406" s="1" t="s">
        <v>1894</v>
      </c>
    </row>
    <row r="407" spans="1:10" ht="17" thickBot="1" x14ac:dyDescent="0.25"/>
    <row r="408" spans="1:10" x14ac:dyDescent="0.2">
      <c r="B408" s="109"/>
      <c r="C408" s="240" t="s">
        <v>1895</v>
      </c>
      <c r="D408" s="240"/>
      <c r="E408" s="240"/>
      <c r="F408" s="240" t="s">
        <v>1899</v>
      </c>
      <c r="G408" s="240"/>
      <c r="H408" s="240"/>
      <c r="I408" s="240" t="s">
        <v>1903</v>
      </c>
      <c r="J408" s="110"/>
    </row>
    <row r="409" spans="1:10" x14ac:dyDescent="0.2">
      <c r="B409" s="111"/>
      <c r="C409" s="241" t="s">
        <v>1896</v>
      </c>
      <c r="D409" s="241"/>
      <c r="E409" s="241"/>
      <c r="F409" s="241" t="s">
        <v>1900</v>
      </c>
      <c r="G409" s="241"/>
      <c r="H409" s="241"/>
      <c r="I409" s="241" t="s">
        <v>1904</v>
      </c>
      <c r="J409" s="112"/>
    </row>
    <row r="410" spans="1:10" x14ac:dyDescent="0.2">
      <c r="B410" s="111"/>
      <c r="C410" s="241" t="s">
        <v>1897</v>
      </c>
      <c r="D410" s="241"/>
      <c r="E410" s="241"/>
      <c r="F410" s="241" t="s">
        <v>1901</v>
      </c>
      <c r="G410" s="241"/>
      <c r="H410" s="241"/>
      <c r="I410" s="241" t="s">
        <v>1898</v>
      </c>
      <c r="J410" s="112"/>
    </row>
    <row r="411" spans="1:10" s="116" customFormat="1" x14ac:dyDescent="0.2">
      <c r="B411" s="111"/>
      <c r="C411" s="241" t="s">
        <v>1898</v>
      </c>
      <c r="D411" s="241"/>
      <c r="E411" s="241"/>
      <c r="F411" s="241" t="s">
        <v>1902</v>
      </c>
      <c r="G411" s="241"/>
      <c r="H411" s="241"/>
      <c r="I411" s="241"/>
      <c r="J411" s="112"/>
    </row>
    <row r="412" spans="1:10" s="116" customFormat="1" x14ac:dyDescent="0.2">
      <c r="B412" s="111"/>
      <c r="C412" s="241"/>
      <c r="D412" s="241"/>
      <c r="E412" s="241"/>
      <c r="F412" s="241"/>
      <c r="G412" s="241"/>
      <c r="H412" s="241"/>
      <c r="I412" s="241"/>
      <c r="J412" s="112"/>
    </row>
    <row r="413" spans="1:10" s="116" customFormat="1" x14ac:dyDescent="0.2">
      <c r="B413" s="111"/>
      <c r="C413" s="241"/>
      <c r="D413" s="241"/>
      <c r="E413" s="241"/>
      <c r="F413" s="241"/>
      <c r="G413" s="241"/>
      <c r="H413" s="241"/>
      <c r="I413" s="242"/>
      <c r="J413" s="112"/>
    </row>
    <row r="414" spans="1:10" x14ac:dyDescent="0.2">
      <c r="B414" s="111"/>
      <c r="C414" s="241"/>
      <c r="D414" s="241"/>
      <c r="E414" s="241"/>
      <c r="F414" s="241"/>
      <c r="G414" s="241"/>
      <c r="H414" s="241"/>
      <c r="I414" s="241"/>
      <c r="J414" s="112"/>
    </row>
    <row r="415" spans="1:10" x14ac:dyDescent="0.2">
      <c r="B415" s="111"/>
      <c r="C415" s="241"/>
      <c r="D415" s="241"/>
      <c r="E415" s="241"/>
      <c r="F415" s="241"/>
      <c r="G415" s="241"/>
      <c r="H415" s="241"/>
      <c r="I415" s="241"/>
      <c r="J415" s="112"/>
    </row>
    <row r="416" spans="1:10" x14ac:dyDescent="0.2">
      <c r="B416" s="111"/>
      <c r="C416" s="243">
        <f>(1+12%)^(1/2.5)-1</f>
        <v>4.6374648548560771E-2</v>
      </c>
      <c r="D416" s="241"/>
      <c r="E416" s="241"/>
      <c r="F416" s="241"/>
      <c r="G416" s="241"/>
      <c r="H416" s="241"/>
      <c r="I416" s="241"/>
      <c r="J416" s="112"/>
    </row>
    <row r="417" spans="2:10" ht="17" thickBot="1" x14ac:dyDescent="0.25">
      <c r="B417" s="113"/>
      <c r="C417" s="244"/>
      <c r="D417" s="244"/>
      <c r="E417" s="244"/>
      <c r="F417" s="244"/>
      <c r="G417" s="244"/>
      <c r="H417" s="244"/>
      <c r="I417" s="244"/>
      <c r="J417" s="114"/>
    </row>
  </sheetData>
  <mergeCells count="4">
    <mergeCell ref="A338:A339"/>
    <mergeCell ref="B378:B379"/>
    <mergeCell ref="J272:Q272"/>
    <mergeCell ref="K271:L27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45C89D-9D28-014D-AAE2-AE5CA60E2130}">
  <dimension ref="A1:P384"/>
  <sheetViews>
    <sheetView rightToLeft="1" zoomScale="255" zoomScaleNormal="132" workbookViewId="0">
      <selection activeCell="H335" sqref="H335"/>
    </sheetView>
  </sheetViews>
  <sheetFormatPr baseColWidth="10" defaultRowHeight="16" x14ac:dyDescent="0.2"/>
  <cols>
    <col min="1" max="4" width="10.83203125" style="1"/>
    <col min="5" max="5" width="11.6640625" style="1" bestFit="1" customWidth="1"/>
    <col min="6" max="16384" width="10.83203125" style="1"/>
  </cols>
  <sheetData>
    <row r="1" spans="1:8" x14ac:dyDescent="0.2">
      <c r="A1" s="6" t="s">
        <v>1905</v>
      </c>
      <c r="B1" s="5"/>
      <c r="C1" s="5"/>
      <c r="D1" s="5"/>
      <c r="E1" s="5"/>
      <c r="F1" s="5"/>
      <c r="G1" s="5"/>
      <c r="H1" s="246">
        <v>45897</v>
      </c>
    </row>
    <row r="2" spans="1:8" ht="17" thickBot="1" x14ac:dyDescent="0.25"/>
    <row r="3" spans="1:8" ht="17" thickBot="1" x14ac:dyDescent="0.25">
      <c r="A3" s="60" t="s">
        <v>1906</v>
      </c>
      <c r="B3" s="61"/>
      <c r="C3" s="61"/>
      <c r="D3" s="61"/>
      <c r="E3" s="61"/>
      <c r="F3" s="61"/>
      <c r="G3" s="61"/>
      <c r="H3" s="127"/>
    </row>
    <row r="5" spans="1:8" x14ac:dyDescent="0.2">
      <c r="A5" s="151" t="s">
        <v>911</v>
      </c>
      <c r="B5" s="151"/>
      <c r="C5" s="151"/>
      <c r="D5" s="151"/>
      <c r="E5" s="151"/>
      <c r="F5" s="151"/>
      <c r="G5" s="151"/>
      <c r="H5" s="151"/>
    </row>
    <row r="6" spans="1:8" x14ac:dyDescent="0.2">
      <c r="A6" s="1" t="s">
        <v>1907</v>
      </c>
    </row>
    <row r="7" spans="1:8" x14ac:dyDescent="0.2">
      <c r="A7" s="1" t="s">
        <v>1908</v>
      </c>
    </row>
    <row r="8" spans="1:8" x14ac:dyDescent="0.2">
      <c r="A8" s="1" t="s">
        <v>1909</v>
      </c>
    </row>
    <row r="10" spans="1:8" x14ac:dyDescent="0.2">
      <c r="A10" s="1" t="s">
        <v>146</v>
      </c>
    </row>
    <row r="12" spans="1:8" x14ac:dyDescent="0.2">
      <c r="A12" s="1" t="s">
        <v>1910</v>
      </c>
    </row>
    <row r="13" spans="1:8" x14ac:dyDescent="0.2">
      <c r="A13" s="1" t="s">
        <v>1911</v>
      </c>
    </row>
    <row r="14" spans="1:8" x14ac:dyDescent="0.2">
      <c r="A14" s="1" t="s">
        <v>1912</v>
      </c>
    </row>
    <row r="16" spans="1:8" x14ac:dyDescent="0.2">
      <c r="A16" s="1" t="s">
        <v>1913</v>
      </c>
    </row>
    <row r="17" spans="1:8" x14ac:dyDescent="0.2">
      <c r="B17" s="20">
        <v>11</v>
      </c>
      <c r="C17" s="20">
        <v>10</v>
      </c>
      <c r="D17" s="20" t="s">
        <v>1917</v>
      </c>
      <c r="E17" s="20">
        <v>2</v>
      </c>
      <c r="F17" s="20">
        <v>1</v>
      </c>
      <c r="G17" s="20">
        <v>0</v>
      </c>
    </row>
    <row r="18" spans="1:8" x14ac:dyDescent="0.2">
      <c r="A18" s="1" t="s">
        <v>503</v>
      </c>
      <c r="G18" s="20"/>
    </row>
    <row r="19" spans="1:8" x14ac:dyDescent="0.2">
      <c r="G19" s="24">
        <v>20000</v>
      </c>
      <c r="H19" s="1" t="s">
        <v>1914</v>
      </c>
    </row>
    <row r="20" spans="1:8" x14ac:dyDescent="0.2">
      <c r="G20" s="247">
        <v>-2000</v>
      </c>
      <c r="H20" s="1" t="s">
        <v>1915</v>
      </c>
    </row>
    <row r="21" spans="1:8" x14ac:dyDescent="0.2">
      <c r="G21" s="67">
        <v>18000</v>
      </c>
      <c r="H21" s="1" t="s">
        <v>1916</v>
      </c>
    </row>
    <row r="24" spans="1:8" x14ac:dyDescent="0.2">
      <c r="A24" s="1" t="s">
        <v>1918</v>
      </c>
    </row>
    <row r="25" spans="1:8" x14ac:dyDescent="0.2">
      <c r="A25" s="1" t="s">
        <v>1919</v>
      </c>
    </row>
    <row r="26" spans="1:8" x14ac:dyDescent="0.2">
      <c r="A26" s="1" t="s">
        <v>1920</v>
      </c>
    </row>
    <row r="28" spans="1:8" x14ac:dyDescent="0.2">
      <c r="F28" s="21" t="s">
        <v>60</v>
      </c>
    </row>
    <row r="29" spans="1:8" x14ac:dyDescent="0.2">
      <c r="E29" s="20" t="s">
        <v>75</v>
      </c>
      <c r="F29" s="1" t="s">
        <v>111</v>
      </c>
    </row>
    <row r="30" spans="1:8" x14ac:dyDescent="0.2">
      <c r="E30" s="20">
        <v>11</v>
      </c>
      <c r="F30" s="1" t="s">
        <v>62</v>
      </c>
    </row>
    <row r="31" spans="1:8" x14ac:dyDescent="0.2">
      <c r="A31" s="1" t="s">
        <v>1924</v>
      </c>
      <c r="E31" s="248">
        <f>RATE(E30,E33,E32,E34)</f>
        <v>3.5031530362277151E-2</v>
      </c>
      <c r="F31" s="1" t="s">
        <v>63</v>
      </c>
      <c r="G31" s="1" t="s">
        <v>77</v>
      </c>
    </row>
    <row r="32" spans="1:8" x14ac:dyDescent="0.2">
      <c r="A32" s="1" t="s">
        <v>1921</v>
      </c>
      <c r="E32" s="24">
        <v>18000</v>
      </c>
      <c r="F32" s="1" t="s">
        <v>64</v>
      </c>
    </row>
    <row r="33" spans="1:9" x14ac:dyDescent="0.2">
      <c r="A33" s="1" t="s">
        <v>1922</v>
      </c>
      <c r="E33" s="24">
        <v>-2000</v>
      </c>
      <c r="F33" s="1" t="s">
        <v>65</v>
      </c>
    </row>
    <row r="34" spans="1:9" x14ac:dyDescent="0.2">
      <c r="A34" s="1" t="s">
        <v>1923</v>
      </c>
      <c r="E34" s="20">
        <v>0</v>
      </c>
      <c r="F34" s="1" t="s">
        <v>66</v>
      </c>
      <c r="I34" s="1" t="s">
        <v>1929</v>
      </c>
    </row>
    <row r="36" spans="1:9" x14ac:dyDescent="0.2">
      <c r="A36" s="1" t="s">
        <v>1925</v>
      </c>
    </row>
    <row r="37" spans="1:9" x14ac:dyDescent="0.2">
      <c r="A37" s="1" t="s">
        <v>1926</v>
      </c>
    </row>
    <row r="38" spans="1:9" x14ac:dyDescent="0.2">
      <c r="A38" s="1" t="s">
        <v>1927</v>
      </c>
    </row>
    <row r="40" spans="1:9" x14ac:dyDescent="0.2">
      <c r="A40" s="1" t="s">
        <v>1928</v>
      </c>
    </row>
    <row r="43" spans="1:9" x14ac:dyDescent="0.2">
      <c r="C43" s="249">
        <f>(1+E31)^12-1</f>
        <v>0.51162115040110945</v>
      </c>
    </row>
    <row r="44" spans="1:9" ht="17" thickBot="1" x14ac:dyDescent="0.25">
      <c r="C44" s="168"/>
    </row>
    <row r="45" spans="1:9" ht="17" thickBot="1" x14ac:dyDescent="0.25">
      <c r="A45" s="60" t="s">
        <v>1930</v>
      </c>
      <c r="B45" s="61"/>
      <c r="C45" s="61"/>
      <c r="D45" s="61"/>
      <c r="E45" s="61"/>
      <c r="F45" s="61"/>
      <c r="G45" s="61"/>
      <c r="H45" s="127"/>
    </row>
    <row r="46" spans="1:9" x14ac:dyDescent="0.2">
      <c r="C46" s="168"/>
    </row>
    <row r="47" spans="1:9" x14ac:dyDescent="0.2">
      <c r="A47" s="1" t="s">
        <v>1931</v>
      </c>
      <c r="C47" s="168"/>
    </row>
    <row r="48" spans="1:9" x14ac:dyDescent="0.2">
      <c r="A48" s="1" t="s">
        <v>1934</v>
      </c>
      <c r="C48" s="168"/>
    </row>
    <row r="49" spans="1:7" x14ac:dyDescent="0.2">
      <c r="A49" s="1" t="s">
        <v>1932</v>
      </c>
      <c r="C49" s="168"/>
    </row>
    <row r="50" spans="1:7" x14ac:dyDescent="0.2">
      <c r="A50" s="1" t="s">
        <v>1933</v>
      </c>
      <c r="C50" s="168"/>
    </row>
    <row r="51" spans="1:7" x14ac:dyDescent="0.2">
      <c r="C51" s="168"/>
    </row>
    <row r="52" spans="1:7" x14ac:dyDescent="0.2">
      <c r="C52" s="168"/>
    </row>
    <row r="53" spans="1:7" x14ac:dyDescent="0.2">
      <c r="C53" s="168"/>
    </row>
    <row r="54" spans="1:7" x14ac:dyDescent="0.2">
      <c r="A54" s="1" t="s">
        <v>1936</v>
      </c>
      <c r="B54" s="20" t="s">
        <v>1935</v>
      </c>
      <c r="C54" s="20">
        <v>16</v>
      </c>
      <c r="D54" s="20">
        <v>15</v>
      </c>
      <c r="E54" s="20"/>
      <c r="F54" s="20">
        <v>1</v>
      </c>
      <c r="G54" s="20">
        <v>0</v>
      </c>
    </row>
    <row r="55" spans="1:7" x14ac:dyDescent="0.2">
      <c r="C55" s="168"/>
      <c r="G55" s="20"/>
    </row>
    <row r="56" spans="1:7" x14ac:dyDescent="0.2">
      <c r="C56" s="168"/>
      <c r="D56" s="250" t="s">
        <v>1942</v>
      </c>
      <c r="G56" s="20" t="s">
        <v>1140</v>
      </c>
    </row>
    <row r="57" spans="1:7" x14ac:dyDescent="0.2">
      <c r="C57" s="168"/>
      <c r="G57" s="20" t="s">
        <v>1937</v>
      </c>
    </row>
    <row r="58" spans="1:7" x14ac:dyDescent="0.2">
      <c r="C58" s="168"/>
      <c r="G58" s="20" t="s">
        <v>1938</v>
      </c>
    </row>
    <row r="59" spans="1:7" x14ac:dyDescent="0.2">
      <c r="C59" s="168"/>
      <c r="G59" s="20" t="s">
        <v>1939</v>
      </c>
    </row>
    <row r="60" spans="1:7" x14ac:dyDescent="0.2">
      <c r="C60" s="168"/>
      <c r="G60" s="20" t="s">
        <v>1940</v>
      </c>
    </row>
    <row r="61" spans="1:7" x14ac:dyDescent="0.2">
      <c r="C61" s="168"/>
      <c r="G61" s="20" t="s">
        <v>1941</v>
      </c>
    </row>
    <row r="62" spans="1:7" x14ac:dyDescent="0.2">
      <c r="C62" s="168"/>
    </row>
    <row r="63" spans="1:7" x14ac:dyDescent="0.2">
      <c r="C63" s="168"/>
    </row>
    <row r="64" spans="1:7" x14ac:dyDescent="0.2">
      <c r="C64" s="168"/>
    </row>
    <row r="65" spans="1:8" x14ac:dyDescent="0.2">
      <c r="C65" s="168"/>
      <c r="D65" s="27" t="s">
        <v>172</v>
      </c>
      <c r="E65" s="27" t="s">
        <v>171</v>
      </c>
      <c r="F65" s="10" t="s">
        <v>60</v>
      </c>
    </row>
    <row r="66" spans="1:8" x14ac:dyDescent="0.2">
      <c r="C66" s="168"/>
      <c r="D66" s="20" t="s">
        <v>75</v>
      </c>
      <c r="E66" s="20" t="s">
        <v>75</v>
      </c>
      <c r="F66" s="1" t="s">
        <v>111</v>
      </c>
    </row>
    <row r="67" spans="1:8" x14ac:dyDescent="0.2">
      <c r="C67" s="168"/>
      <c r="D67" s="20">
        <v>15</v>
      </c>
      <c r="E67" s="20">
        <v>999</v>
      </c>
      <c r="F67" s="1" t="s">
        <v>62</v>
      </c>
    </row>
    <row r="68" spans="1:8" ht="17" thickBot="1" x14ac:dyDescent="0.25">
      <c r="C68" s="168"/>
      <c r="D68" s="20">
        <v>8</v>
      </c>
      <c r="E68" s="20">
        <v>8</v>
      </c>
      <c r="F68" s="1" t="s">
        <v>63</v>
      </c>
    </row>
    <row r="69" spans="1:8" ht="17" thickBot="1" x14ac:dyDescent="0.25">
      <c r="C69" s="168"/>
      <c r="D69" s="251">
        <f>PV(D68/100,D67,D70,D71)</f>
        <v>-364535.30819133739</v>
      </c>
      <c r="E69" s="50">
        <f>PV(E68/100,E67,E70,E71)</f>
        <v>-287500</v>
      </c>
      <c r="F69" s="1" t="s">
        <v>64</v>
      </c>
      <c r="G69" s="1" t="s">
        <v>227</v>
      </c>
    </row>
    <row r="70" spans="1:8" x14ac:dyDescent="0.2">
      <c r="C70" s="168"/>
      <c r="D70" s="20">
        <v>32000</v>
      </c>
      <c r="E70" s="20">
        <v>23000</v>
      </c>
      <c r="F70" s="1" t="s">
        <v>65</v>
      </c>
    </row>
    <row r="71" spans="1:8" x14ac:dyDescent="0.2">
      <c r="C71" s="168"/>
      <c r="D71" s="50">
        <f>-E69</f>
        <v>287500</v>
      </c>
      <c r="E71" s="20">
        <v>0</v>
      </c>
      <c r="F71" s="1" t="s">
        <v>66</v>
      </c>
    </row>
    <row r="72" spans="1:8" x14ac:dyDescent="0.2">
      <c r="C72" s="168"/>
    </row>
    <row r="73" spans="1:8" x14ac:dyDescent="0.2">
      <c r="A73" s="1" t="s">
        <v>1943</v>
      </c>
      <c r="C73" s="168"/>
    </row>
    <row r="74" spans="1:8" x14ac:dyDescent="0.2">
      <c r="C74" s="168"/>
    </row>
    <row r="75" spans="1:8" x14ac:dyDescent="0.2">
      <c r="C75" s="168"/>
    </row>
    <row r="76" spans="1:8" x14ac:dyDescent="0.2">
      <c r="C76" s="168"/>
    </row>
    <row r="77" spans="1:8" x14ac:dyDescent="0.2">
      <c r="C77" s="168"/>
    </row>
    <row r="78" spans="1:8" x14ac:dyDescent="0.2">
      <c r="C78" s="168"/>
    </row>
    <row r="79" spans="1:8" ht="23" x14ac:dyDescent="0.25">
      <c r="A79" s="6" t="s">
        <v>3132</v>
      </c>
      <c r="B79" s="6"/>
      <c r="C79" s="94"/>
      <c r="D79" s="6"/>
      <c r="E79" s="6"/>
      <c r="F79" s="6"/>
      <c r="G79" s="6"/>
      <c r="H79" s="6"/>
    </row>
    <row r="80" spans="1:8" x14ac:dyDescent="0.2">
      <c r="A80" s="18" t="s">
        <v>548</v>
      </c>
    </row>
    <row r="81" spans="1:10" x14ac:dyDescent="0.2">
      <c r="A81" s="1" t="s">
        <v>549</v>
      </c>
    </row>
    <row r="82" spans="1:10" x14ac:dyDescent="0.2">
      <c r="A82" s="1" t="s">
        <v>613</v>
      </c>
    </row>
    <row r="83" spans="1:10" x14ac:dyDescent="0.2">
      <c r="A83" s="1" t="s">
        <v>550</v>
      </c>
    </row>
    <row r="84" spans="1:10" x14ac:dyDescent="0.2">
      <c r="J84" s="1" t="s">
        <v>3133</v>
      </c>
    </row>
    <row r="85" spans="1:10" x14ac:dyDescent="0.2">
      <c r="A85" s="18" t="s">
        <v>551</v>
      </c>
      <c r="J85" s="1" t="s">
        <v>3134</v>
      </c>
    </row>
    <row r="86" spans="1:10" x14ac:dyDescent="0.2">
      <c r="A86" s="1" t="s">
        <v>614</v>
      </c>
      <c r="I86" s="20" t="s">
        <v>3136</v>
      </c>
      <c r="J86" s="1" t="s">
        <v>3139</v>
      </c>
    </row>
    <row r="87" spans="1:10" ht="17" thickBot="1" x14ac:dyDescent="0.25">
      <c r="A87" s="1" t="s">
        <v>615</v>
      </c>
      <c r="I87" s="20"/>
      <c r="J87" s="1" t="s">
        <v>3135</v>
      </c>
    </row>
    <row r="88" spans="1:10" x14ac:dyDescent="0.2">
      <c r="A88" s="18" t="s">
        <v>552</v>
      </c>
      <c r="B88" s="12" t="s">
        <v>616</v>
      </c>
      <c r="C88" s="13"/>
      <c r="D88" s="13"/>
      <c r="E88" s="13"/>
      <c r="F88" s="13"/>
      <c r="G88" s="13"/>
      <c r="H88" s="14"/>
      <c r="I88" s="20" t="s">
        <v>3136</v>
      </c>
      <c r="J88" s="1" t="s">
        <v>3146</v>
      </c>
    </row>
    <row r="89" spans="1:10" ht="17" thickBot="1" x14ac:dyDescent="0.25">
      <c r="B89" s="15" t="s">
        <v>3140</v>
      </c>
      <c r="C89" s="16"/>
      <c r="D89" s="16"/>
      <c r="E89" s="16"/>
      <c r="F89" s="16"/>
      <c r="G89" s="16"/>
      <c r="H89" s="17"/>
      <c r="J89" s="1" t="s">
        <v>3137</v>
      </c>
    </row>
    <row r="90" spans="1:10" x14ac:dyDescent="0.2">
      <c r="B90" s="12" t="s">
        <v>553</v>
      </c>
      <c r="C90" s="13"/>
      <c r="D90" s="13"/>
      <c r="E90" s="13"/>
      <c r="F90" s="13"/>
      <c r="G90" s="13"/>
      <c r="H90" s="14"/>
      <c r="J90" s="1" t="s">
        <v>3138</v>
      </c>
    </row>
    <row r="91" spans="1:10" x14ac:dyDescent="0.2">
      <c r="B91" s="72" t="s">
        <v>554</v>
      </c>
      <c r="H91" s="73"/>
    </row>
    <row r="92" spans="1:10" ht="17" thickBot="1" x14ac:dyDescent="0.25">
      <c r="B92" s="438" t="s">
        <v>555</v>
      </c>
      <c r="C92" s="16"/>
      <c r="D92" s="16"/>
      <c r="E92" s="439" t="s">
        <v>3141</v>
      </c>
      <c r="F92" s="16"/>
      <c r="G92" s="16"/>
      <c r="H92" s="17"/>
    </row>
    <row r="93" spans="1:10" x14ac:dyDescent="0.2">
      <c r="B93" s="12" t="s">
        <v>3142</v>
      </c>
      <c r="C93" s="13"/>
      <c r="D93" s="13"/>
      <c r="E93" s="13"/>
      <c r="F93" s="13"/>
      <c r="G93" s="13"/>
      <c r="H93" s="14"/>
    </row>
    <row r="94" spans="1:10" x14ac:dyDescent="0.2">
      <c r="B94" s="72" t="s">
        <v>3143</v>
      </c>
      <c r="H94" s="73"/>
    </row>
    <row r="95" spans="1:10" ht="17" thickBot="1" x14ac:dyDescent="0.25">
      <c r="B95" s="15" t="s">
        <v>3144</v>
      </c>
      <c r="C95" s="16"/>
      <c r="D95" s="16"/>
      <c r="E95" s="16"/>
      <c r="F95" s="16"/>
      <c r="G95" s="16"/>
      <c r="H95" s="17"/>
    </row>
    <row r="96" spans="1:10" x14ac:dyDescent="0.2">
      <c r="A96" s="18" t="s">
        <v>556</v>
      </c>
      <c r="B96" s="12" t="s">
        <v>557</v>
      </c>
      <c r="C96" s="13"/>
      <c r="D96" s="13"/>
      <c r="E96" s="13"/>
      <c r="F96" s="13"/>
      <c r="G96" s="13"/>
      <c r="H96" s="14"/>
    </row>
    <row r="97" spans="1:12" ht="17" thickBot="1" x14ac:dyDescent="0.25">
      <c r="B97" s="15" t="s">
        <v>617</v>
      </c>
      <c r="C97" s="16"/>
      <c r="D97" s="16"/>
      <c r="E97" s="16"/>
      <c r="F97" s="16"/>
      <c r="G97" s="16"/>
      <c r="H97" s="17"/>
      <c r="J97" s="1" t="s">
        <v>3145</v>
      </c>
    </row>
    <row r="98" spans="1:12" x14ac:dyDescent="0.2">
      <c r="A98" s="18" t="s">
        <v>558</v>
      </c>
      <c r="B98" s="12" t="s">
        <v>559</v>
      </c>
      <c r="C98" s="13"/>
      <c r="D98" s="13"/>
      <c r="E98" s="13"/>
      <c r="F98" s="13"/>
      <c r="G98" s="13"/>
      <c r="H98" s="14"/>
    </row>
    <row r="99" spans="1:12" x14ac:dyDescent="0.2">
      <c r="B99" s="72" t="s">
        <v>560</v>
      </c>
      <c r="H99" s="73"/>
      <c r="J99" s="52" t="s">
        <v>3147</v>
      </c>
    </row>
    <row r="100" spans="1:12" x14ac:dyDescent="0.2">
      <c r="B100" s="72" t="s">
        <v>561</v>
      </c>
      <c r="H100" s="73"/>
      <c r="J100" s="1" t="s">
        <v>618</v>
      </c>
      <c r="L100" s="52" t="s">
        <v>3148</v>
      </c>
    </row>
    <row r="101" spans="1:12" x14ac:dyDescent="0.2">
      <c r="B101" s="72" t="s">
        <v>562</v>
      </c>
      <c r="H101" s="73"/>
      <c r="J101" s="1" t="s">
        <v>619</v>
      </c>
      <c r="L101" s="52" t="s">
        <v>3149</v>
      </c>
    </row>
    <row r="102" spans="1:12" ht="17" thickBot="1" x14ac:dyDescent="0.25">
      <c r="B102" s="15" t="s">
        <v>563</v>
      </c>
      <c r="C102" s="16"/>
      <c r="D102" s="16"/>
      <c r="E102" s="16"/>
      <c r="F102" s="16"/>
      <c r="G102" s="16"/>
      <c r="H102" s="17"/>
      <c r="J102" s="1" t="s">
        <v>620</v>
      </c>
    </row>
    <row r="104" spans="1:12" x14ac:dyDescent="0.2">
      <c r="A104" s="1" t="s">
        <v>564</v>
      </c>
    </row>
    <row r="106" spans="1:12" x14ac:dyDescent="0.2">
      <c r="A106" s="2" t="s">
        <v>1944</v>
      </c>
      <c r="B106" s="71"/>
      <c r="C106" s="71"/>
      <c r="D106" s="71"/>
      <c r="E106" s="71"/>
      <c r="F106" s="71"/>
      <c r="G106" s="71"/>
      <c r="H106" s="71"/>
    </row>
    <row r="107" spans="1:12" x14ac:dyDescent="0.2">
      <c r="A107" s="1" t="s">
        <v>621</v>
      </c>
    </row>
    <row r="108" spans="1:12" x14ac:dyDescent="0.2">
      <c r="B108" s="1" t="s">
        <v>596</v>
      </c>
      <c r="G108" s="1" t="s">
        <v>62</v>
      </c>
    </row>
    <row r="109" spans="1:12" x14ac:dyDescent="0.2">
      <c r="B109" s="1" t="s">
        <v>565</v>
      </c>
      <c r="G109" s="1" t="s">
        <v>612</v>
      </c>
    </row>
    <row r="110" spans="1:12" x14ac:dyDescent="0.2">
      <c r="B110" s="1" t="s">
        <v>597</v>
      </c>
      <c r="G110" s="1" t="s">
        <v>63</v>
      </c>
    </row>
    <row r="111" spans="1:12" x14ac:dyDescent="0.2">
      <c r="B111" s="1" t="s">
        <v>567</v>
      </c>
      <c r="G111" s="1" t="s">
        <v>66</v>
      </c>
    </row>
    <row r="112" spans="1:12" x14ac:dyDescent="0.2">
      <c r="B112" s="1" t="s">
        <v>590</v>
      </c>
      <c r="F112" s="5"/>
      <c r="G112" s="1" t="s">
        <v>64</v>
      </c>
      <c r="H112" s="1" t="s">
        <v>227</v>
      </c>
    </row>
    <row r="114" spans="1:2" x14ac:dyDescent="0.2">
      <c r="B114" s="1" t="s">
        <v>573</v>
      </c>
    </row>
    <row r="115" spans="1:2" x14ac:dyDescent="0.2">
      <c r="B115" s="1" t="s">
        <v>622</v>
      </c>
    </row>
    <row r="117" spans="1:2" x14ac:dyDescent="0.2">
      <c r="B117" s="1" t="s">
        <v>574</v>
      </c>
    </row>
    <row r="118" spans="1:2" x14ac:dyDescent="0.2">
      <c r="B118" s="1" t="s">
        <v>623</v>
      </c>
    </row>
    <row r="119" spans="1:2" x14ac:dyDescent="0.2">
      <c r="B119" s="1" t="s">
        <v>575</v>
      </c>
    </row>
    <row r="123" spans="1:2" x14ac:dyDescent="0.2">
      <c r="A123" s="1" t="s">
        <v>588</v>
      </c>
      <c r="B123" s="1" t="s">
        <v>589</v>
      </c>
    </row>
    <row r="129" spans="1:8" x14ac:dyDescent="0.2">
      <c r="D129" s="1" t="s">
        <v>594</v>
      </c>
      <c r="F129" s="1" t="s">
        <v>592</v>
      </c>
      <c r="H129" s="1" t="s">
        <v>591</v>
      </c>
    </row>
    <row r="130" spans="1:8" x14ac:dyDescent="0.2">
      <c r="D130" s="1" t="s">
        <v>567</v>
      </c>
      <c r="F130" s="1" t="s">
        <v>593</v>
      </c>
    </row>
    <row r="131" spans="1:8" x14ac:dyDescent="0.2">
      <c r="D131" s="1" t="s">
        <v>595</v>
      </c>
    </row>
    <row r="135" spans="1:8" x14ac:dyDescent="0.2">
      <c r="A135" s="2" t="s">
        <v>586</v>
      </c>
      <c r="B135" s="71"/>
      <c r="C135" s="71"/>
      <c r="D135" s="71"/>
      <c r="E135" s="71"/>
      <c r="F135" s="71"/>
      <c r="G135" s="71"/>
      <c r="H135" s="71"/>
    </row>
    <row r="136" spans="1:8" x14ac:dyDescent="0.2">
      <c r="A136" s="1" t="s">
        <v>587</v>
      </c>
    </row>
    <row r="137" spans="1:8" x14ac:dyDescent="0.2">
      <c r="A137" s="1" t="s">
        <v>667</v>
      </c>
    </row>
    <row r="139" spans="1:8" x14ac:dyDescent="0.2">
      <c r="A139" s="1" t="s">
        <v>668</v>
      </c>
    </row>
    <row r="140" spans="1:8" x14ac:dyDescent="0.2">
      <c r="A140" s="1" t="s">
        <v>669</v>
      </c>
    </row>
    <row r="141" spans="1:8" x14ac:dyDescent="0.2">
      <c r="A141" s="1" t="s">
        <v>670</v>
      </c>
    </row>
    <row r="143" spans="1:8" x14ac:dyDescent="0.2">
      <c r="A143" s="1" t="s">
        <v>671</v>
      </c>
    </row>
    <row r="144" spans="1:8" x14ac:dyDescent="0.2">
      <c r="B144" s="1" t="s">
        <v>672</v>
      </c>
    </row>
    <row r="145" spans="1:8" x14ac:dyDescent="0.2">
      <c r="B145" s="1" t="s">
        <v>673</v>
      </c>
    </row>
    <row r="146" spans="1:8" x14ac:dyDescent="0.2">
      <c r="B146" s="1" t="s">
        <v>674</v>
      </c>
    </row>
    <row r="148" spans="1:8" x14ac:dyDescent="0.2">
      <c r="A148" s="1" t="s">
        <v>598</v>
      </c>
    </row>
    <row r="149" spans="1:8" x14ac:dyDescent="0.2">
      <c r="B149" s="1" t="s">
        <v>599</v>
      </c>
      <c r="G149" s="1" t="s">
        <v>62</v>
      </c>
    </row>
    <row r="150" spans="1:8" x14ac:dyDescent="0.2">
      <c r="B150" s="1" t="s">
        <v>565</v>
      </c>
      <c r="G150" s="1" t="s">
        <v>566</v>
      </c>
    </row>
    <row r="151" spans="1:8" x14ac:dyDescent="0.2">
      <c r="B151" s="1" t="s">
        <v>600</v>
      </c>
      <c r="G151" s="1" t="s">
        <v>63</v>
      </c>
    </row>
    <row r="152" spans="1:8" x14ac:dyDescent="0.2">
      <c r="B152" s="1" t="s">
        <v>567</v>
      </c>
      <c r="G152" s="1" t="s">
        <v>66</v>
      </c>
    </row>
    <row r="153" spans="1:8" x14ac:dyDescent="0.2">
      <c r="B153" s="1" t="s">
        <v>601</v>
      </c>
      <c r="F153" s="5"/>
      <c r="G153" s="1" t="s">
        <v>64</v>
      </c>
      <c r="H153" s="1" t="s">
        <v>227</v>
      </c>
    </row>
    <row r="155" spans="1:8" x14ac:dyDescent="0.2">
      <c r="A155" s="1" t="s">
        <v>602</v>
      </c>
    </row>
    <row r="156" spans="1:8" x14ac:dyDescent="0.2">
      <c r="B156" s="1" t="s">
        <v>603</v>
      </c>
      <c r="G156" s="1" t="s">
        <v>62</v>
      </c>
    </row>
    <row r="157" spans="1:8" x14ac:dyDescent="0.2">
      <c r="B157" s="1" t="s">
        <v>565</v>
      </c>
      <c r="G157" s="1" t="s">
        <v>566</v>
      </c>
    </row>
    <row r="158" spans="1:8" x14ac:dyDescent="0.2">
      <c r="B158" s="1" t="s">
        <v>604</v>
      </c>
      <c r="G158" s="1" t="s">
        <v>63</v>
      </c>
    </row>
    <row r="159" spans="1:8" x14ac:dyDescent="0.2">
      <c r="B159" s="1" t="s">
        <v>567</v>
      </c>
      <c r="G159" s="1" t="s">
        <v>66</v>
      </c>
    </row>
    <row r="160" spans="1:8" x14ac:dyDescent="0.2">
      <c r="B160" s="1" t="s">
        <v>605</v>
      </c>
      <c r="F160" s="5"/>
      <c r="G160" s="1" t="s">
        <v>64</v>
      </c>
      <c r="H160" s="1" t="s">
        <v>227</v>
      </c>
    </row>
    <row r="162" spans="1:11" x14ac:dyDescent="0.2">
      <c r="A162" s="1" t="s">
        <v>608</v>
      </c>
    </row>
    <row r="163" spans="1:11" x14ac:dyDescent="0.2">
      <c r="B163" s="1" t="s">
        <v>606</v>
      </c>
      <c r="G163" s="1" t="s">
        <v>62</v>
      </c>
    </row>
    <row r="164" spans="1:11" x14ac:dyDescent="0.2">
      <c r="B164" s="1" t="s">
        <v>565</v>
      </c>
      <c r="G164" s="1" t="s">
        <v>566</v>
      </c>
    </row>
    <row r="165" spans="1:11" x14ac:dyDescent="0.2">
      <c r="B165" s="1" t="s">
        <v>607</v>
      </c>
      <c r="F165" s="5"/>
      <c r="G165" s="1" t="s">
        <v>63</v>
      </c>
      <c r="H165" s="1" t="s">
        <v>227</v>
      </c>
    </row>
    <row r="166" spans="1:11" x14ac:dyDescent="0.2">
      <c r="B166" s="1" t="s">
        <v>609</v>
      </c>
      <c r="G166" s="1" t="s">
        <v>611</v>
      </c>
    </row>
    <row r="167" spans="1:11" x14ac:dyDescent="0.2">
      <c r="B167" s="1" t="s">
        <v>610</v>
      </c>
      <c r="G167" s="1" t="s">
        <v>66</v>
      </c>
    </row>
    <row r="169" spans="1:11" x14ac:dyDescent="0.2">
      <c r="A169" s="6" t="s">
        <v>572</v>
      </c>
      <c r="B169" s="6"/>
      <c r="C169" s="6"/>
      <c r="D169" s="6"/>
      <c r="E169" s="6"/>
      <c r="F169" s="6"/>
      <c r="G169" s="6"/>
      <c r="H169" s="6">
        <v>3.2</v>
      </c>
    </row>
    <row r="170" spans="1:11" x14ac:dyDescent="0.2">
      <c r="I170" s="1" t="s">
        <v>3153</v>
      </c>
    </row>
    <row r="171" spans="1:11" x14ac:dyDescent="0.2">
      <c r="A171" s="1" t="s">
        <v>570</v>
      </c>
      <c r="I171" s="1" t="s">
        <v>3151</v>
      </c>
    </row>
    <row r="172" spans="1:11" x14ac:dyDescent="0.2">
      <c r="A172" s="1" t="s">
        <v>571</v>
      </c>
      <c r="I172" s="1" t="s">
        <v>3152</v>
      </c>
      <c r="K172" s="440">
        <v>0.12</v>
      </c>
    </row>
    <row r="173" spans="1:11" x14ac:dyDescent="0.2">
      <c r="A173" s="1" t="s">
        <v>3150</v>
      </c>
    </row>
    <row r="174" spans="1:11" x14ac:dyDescent="0.2">
      <c r="A174" s="1" t="s">
        <v>3158</v>
      </c>
      <c r="I174" s="1" t="s">
        <v>3154</v>
      </c>
    </row>
    <row r="175" spans="1:11" x14ac:dyDescent="0.2">
      <c r="I175" s="1" t="s">
        <v>3155</v>
      </c>
    </row>
    <row r="176" spans="1:11" x14ac:dyDescent="0.2">
      <c r="I176" s="1" t="s">
        <v>3157</v>
      </c>
      <c r="K176" s="1" t="s">
        <v>3156</v>
      </c>
    </row>
    <row r="178" spans="1:13" x14ac:dyDescent="0.2">
      <c r="G178" s="27">
        <v>4</v>
      </c>
      <c r="H178" s="27">
        <v>3</v>
      </c>
      <c r="I178" s="27">
        <v>2</v>
      </c>
      <c r="J178" s="27">
        <v>1</v>
      </c>
      <c r="K178" s="27">
        <v>0</v>
      </c>
    </row>
    <row r="179" spans="1:13" x14ac:dyDescent="0.2">
      <c r="E179" s="370" t="s">
        <v>3159</v>
      </c>
      <c r="G179" s="20">
        <v>8</v>
      </c>
      <c r="H179" s="20">
        <v>8</v>
      </c>
      <c r="I179" s="20">
        <v>8</v>
      </c>
      <c r="J179" s="20">
        <v>8</v>
      </c>
      <c r="K179" s="469"/>
    </row>
    <row r="180" spans="1:13" x14ac:dyDescent="0.2">
      <c r="E180" s="370" t="s">
        <v>3160</v>
      </c>
      <c r="G180" s="20">
        <v>100</v>
      </c>
      <c r="H180" s="20"/>
      <c r="I180" s="20"/>
      <c r="J180" s="20"/>
      <c r="K180" s="470"/>
    </row>
    <row r="181" spans="1:13" x14ac:dyDescent="0.2">
      <c r="G181" s="20"/>
      <c r="H181" s="20"/>
      <c r="I181" s="20"/>
      <c r="J181" s="20"/>
      <c r="K181" s="20"/>
    </row>
    <row r="182" spans="1:13" x14ac:dyDescent="0.2">
      <c r="B182" s="27">
        <v>9</v>
      </c>
      <c r="C182" s="27">
        <v>8</v>
      </c>
      <c r="D182" s="27">
        <v>7</v>
      </c>
      <c r="E182" s="27">
        <v>6</v>
      </c>
      <c r="F182" s="27">
        <v>5</v>
      </c>
      <c r="G182" s="27">
        <v>4</v>
      </c>
      <c r="H182" s="27">
        <v>3</v>
      </c>
      <c r="I182" s="27">
        <v>2</v>
      </c>
      <c r="J182" s="27">
        <v>1</v>
      </c>
      <c r="K182" s="27">
        <v>0</v>
      </c>
    </row>
    <row r="183" spans="1:13" x14ac:dyDescent="0.2">
      <c r="A183" s="370" t="s">
        <v>3159</v>
      </c>
      <c r="B183" s="20">
        <v>8</v>
      </c>
      <c r="C183" s="20">
        <v>8</v>
      </c>
      <c r="D183" s="20">
        <v>8</v>
      </c>
      <c r="E183" s="20">
        <v>8</v>
      </c>
      <c r="F183" s="20">
        <v>8</v>
      </c>
      <c r="G183" s="20">
        <v>8</v>
      </c>
      <c r="H183" s="20">
        <v>8</v>
      </c>
      <c r="I183" s="20">
        <v>8</v>
      </c>
      <c r="J183" s="20">
        <v>8</v>
      </c>
      <c r="K183" s="469"/>
    </row>
    <row r="184" spans="1:13" x14ac:dyDescent="0.2">
      <c r="A184" s="370" t="s">
        <v>3160</v>
      </c>
      <c r="B184" s="20">
        <v>100</v>
      </c>
      <c r="C184" s="20"/>
      <c r="D184" s="20"/>
      <c r="E184" s="20"/>
      <c r="F184" s="20"/>
      <c r="G184" s="20"/>
      <c r="H184" s="20"/>
      <c r="I184" s="20"/>
      <c r="J184" s="20"/>
      <c r="K184" s="470"/>
    </row>
    <row r="185" spans="1:13" x14ac:dyDescent="0.2">
      <c r="B185" s="20"/>
      <c r="C185" s="20"/>
      <c r="D185" s="20"/>
      <c r="E185" s="20"/>
      <c r="F185" s="20"/>
      <c r="G185" s="20"/>
      <c r="H185" s="20"/>
      <c r="I185" s="20"/>
      <c r="J185" s="20"/>
      <c r="K185" s="20"/>
    </row>
    <row r="186" spans="1:13" x14ac:dyDescent="0.2">
      <c r="A186" s="1" t="s">
        <v>568</v>
      </c>
      <c r="G186" s="20"/>
      <c r="H186" s="20"/>
      <c r="I186" s="20"/>
      <c r="J186" s="20"/>
      <c r="K186" s="20"/>
    </row>
    <row r="187" spans="1:13" x14ac:dyDescent="0.2">
      <c r="A187" s="1" t="s">
        <v>569</v>
      </c>
    </row>
    <row r="188" spans="1:13" x14ac:dyDescent="0.2">
      <c r="A188" s="1" t="s">
        <v>3169</v>
      </c>
    </row>
    <row r="190" spans="1:13" ht="17" thickBot="1" x14ac:dyDescent="0.25">
      <c r="A190" s="18" t="s">
        <v>3170</v>
      </c>
      <c r="K190" s="18" t="s">
        <v>3171</v>
      </c>
    </row>
    <row r="191" spans="1:13" x14ac:dyDescent="0.2">
      <c r="B191" s="18" t="s">
        <v>449</v>
      </c>
      <c r="F191" s="43" t="s">
        <v>625</v>
      </c>
      <c r="G191" s="43" t="s">
        <v>624</v>
      </c>
      <c r="K191" s="43" t="s">
        <v>625</v>
      </c>
      <c r="L191" s="43" t="s">
        <v>624</v>
      </c>
    </row>
    <row r="192" spans="1:13" x14ac:dyDescent="0.2">
      <c r="B192" s="1" t="s">
        <v>599</v>
      </c>
      <c r="F192" s="44">
        <v>9</v>
      </c>
      <c r="G192" s="44">
        <v>4</v>
      </c>
      <c r="H192" s="1" t="s">
        <v>62</v>
      </c>
      <c r="K192" s="44">
        <v>9</v>
      </c>
      <c r="L192" s="44">
        <v>4</v>
      </c>
      <c r="M192" s="1" t="s">
        <v>62</v>
      </c>
    </row>
    <row r="193" spans="2:14" x14ac:dyDescent="0.2">
      <c r="B193" s="1" t="s">
        <v>565</v>
      </c>
      <c r="F193" s="44">
        <v>8</v>
      </c>
      <c r="G193" s="44">
        <f>8%*100</f>
        <v>8</v>
      </c>
      <c r="H193" s="441" t="s">
        <v>3161</v>
      </c>
      <c r="K193" s="44">
        <v>8</v>
      </c>
      <c r="L193" s="44">
        <v>8</v>
      </c>
      <c r="M193" s="1" t="s">
        <v>612</v>
      </c>
    </row>
    <row r="194" spans="2:14" x14ac:dyDescent="0.2">
      <c r="B194" s="1" t="s">
        <v>600</v>
      </c>
      <c r="F194" s="44">
        <v>12</v>
      </c>
      <c r="G194" s="44">
        <v>12</v>
      </c>
      <c r="H194" s="1" t="s">
        <v>63</v>
      </c>
      <c r="K194" s="442">
        <v>14</v>
      </c>
      <c r="L194" s="442">
        <v>14</v>
      </c>
      <c r="M194" s="1" t="s">
        <v>63</v>
      </c>
    </row>
    <row r="195" spans="2:14" x14ac:dyDescent="0.2">
      <c r="B195" s="1" t="s">
        <v>3162</v>
      </c>
      <c r="F195" s="44">
        <v>100</v>
      </c>
      <c r="G195" s="44">
        <v>100</v>
      </c>
      <c r="H195" s="1" t="s">
        <v>66</v>
      </c>
      <c r="K195" s="44">
        <v>100</v>
      </c>
      <c r="L195" s="44">
        <v>100</v>
      </c>
      <c r="M195" s="1" t="s">
        <v>66</v>
      </c>
    </row>
    <row r="196" spans="2:14" ht="17" thickBot="1" x14ac:dyDescent="0.25">
      <c r="B196" s="1" t="s">
        <v>601</v>
      </c>
      <c r="F196" s="74">
        <f>PV(F194/100,F192,F193,F195)</f>
        <v>-78.68700083271932</v>
      </c>
      <c r="G196" s="74">
        <f>PV(G194/100,G192,G193,G195)</f>
        <v>-87.850602613494374</v>
      </c>
      <c r="H196" s="1" t="s">
        <v>64</v>
      </c>
      <c r="I196" s="1" t="s">
        <v>77</v>
      </c>
      <c r="K196" s="74">
        <f>PV(K194/100,K192,K193,K195)</f>
        <v>-70.321768979351887</v>
      </c>
      <c r="L196" s="74">
        <f>PV(L194/100,L192,L193,L195)</f>
        <v>-82.517726173008114</v>
      </c>
      <c r="M196" s="1" t="s">
        <v>64</v>
      </c>
      <c r="N196" s="1" t="s">
        <v>77</v>
      </c>
    </row>
    <row r="199" spans="2:14" x14ac:dyDescent="0.2">
      <c r="B199" s="18" t="s">
        <v>3163</v>
      </c>
    </row>
    <row r="201" spans="2:14" x14ac:dyDescent="0.2">
      <c r="I201" s="443" t="s">
        <v>3172</v>
      </c>
      <c r="J201" s="443"/>
      <c r="K201" s="443"/>
      <c r="L201" s="443"/>
    </row>
    <row r="202" spans="2:14" x14ac:dyDescent="0.2">
      <c r="I202" s="443" t="s">
        <v>3173</v>
      </c>
      <c r="J202" s="443"/>
      <c r="K202" s="443"/>
      <c r="L202" s="443"/>
    </row>
    <row r="203" spans="2:14" x14ac:dyDescent="0.2">
      <c r="I203" s="443" t="s">
        <v>3174</v>
      </c>
      <c r="J203" s="443"/>
      <c r="K203" s="443"/>
      <c r="L203" s="443"/>
    </row>
    <row r="204" spans="2:14" x14ac:dyDescent="0.2">
      <c r="C204" s="1" t="s">
        <v>3165</v>
      </c>
      <c r="F204" s="1" t="s">
        <v>3164</v>
      </c>
      <c r="I204" s="443" t="s">
        <v>3175</v>
      </c>
      <c r="J204" s="443"/>
      <c r="K204" s="443"/>
      <c r="L204" s="443"/>
    </row>
    <row r="206" spans="2:14" x14ac:dyDescent="0.2">
      <c r="B206" s="18" t="s">
        <v>626</v>
      </c>
    </row>
    <row r="207" spans="2:14" x14ac:dyDescent="0.2">
      <c r="D207" s="468">
        <f>8*(1-1/1.12^4)/0.12+100/1.12^4</f>
        <v>87.850602613494374</v>
      </c>
      <c r="I207" s="1" t="s">
        <v>3166</v>
      </c>
    </row>
    <row r="208" spans="2:14" x14ac:dyDescent="0.2">
      <c r="D208" s="468"/>
      <c r="I208" s="1" t="s">
        <v>3167</v>
      </c>
    </row>
    <row r="209" spans="1:11" x14ac:dyDescent="0.2">
      <c r="I209" s="1" t="s">
        <v>3168</v>
      </c>
    </row>
    <row r="210" spans="1:11" x14ac:dyDescent="0.2">
      <c r="B210" s="18" t="s">
        <v>627</v>
      </c>
      <c r="D210" s="468">
        <f>8*(1-1/1.12^9)/0.12+100/1.12^9</f>
        <v>78.68700083271932</v>
      </c>
    </row>
    <row r="211" spans="1:11" x14ac:dyDescent="0.2">
      <c r="D211" s="468"/>
    </row>
    <row r="215" spans="1:11" ht="17" thickBot="1" x14ac:dyDescent="0.25">
      <c r="A215" s="6" t="s">
        <v>582</v>
      </c>
      <c r="B215" s="6"/>
      <c r="C215" s="6"/>
      <c r="D215" s="6"/>
      <c r="E215" s="6"/>
      <c r="F215" s="6"/>
      <c r="G215" s="6"/>
      <c r="H215" s="6">
        <v>3.3</v>
      </c>
    </row>
    <row r="216" spans="1:11" ht="17" thickBot="1" x14ac:dyDescent="0.25">
      <c r="A216" s="1" t="s">
        <v>2098</v>
      </c>
      <c r="F216" s="446" t="s">
        <v>3184</v>
      </c>
      <c r="G216" s="8"/>
      <c r="H216" s="8"/>
      <c r="I216" s="8"/>
      <c r="J216" s="9"/>
    </row>
    <row r="217" spans="1:11" x14ac:dyDescent="0.2">
      <c r="A217" s="1" t="s">
        <v>576</v>
      </c>
      <c r="F217" s="1" t="s">
        <v>3178</v>
      </c>
      <c r="I217" s="4">
        <v>43101</v>
      </c>
      <c r="J217" s="1">
        <v>0</v>
      </c>
      <c r="K217" s="1" t="s">
        <v>3176</v>
      </c>
    </row>
    <row r="218" spans="1:11" x14ac:dyDescent="0.2">
      <c r="A218" s="1" t="s">
        <v>577</v>
      </c>
      <c r="F218" s="436" t="s">
        <v>3179</v>
      </c>
      <c r="G218" s="436"/>
      <c r="H218" s="436"/>
      <c r="I218" s="4">
        <v>43281</v>
      </c>
      <c r="J218" s="1">
        <v>0.5</v>
      </c>
    </row>
    <row r="219" spans="1:11" x14ac:dyDescent="0.2">
      <c r="A219" s="1" t="s">
        <v>3182</v>
      </c>
      <c r="F219" s="1" t="s">
        <v>3180</v>
      </c>
      <c r="I219" s="4">
        <v>43465</v>
      </c>
      <c r="J219" s="1">
        <f>J218+0.5</f>
        <v>1</v>
      </c>
    </row>
    <row r="220" spans="1:11" x14ac:dyDescent="0.2">
      <c r="A220" s="1" t="s">
        <v>578</v>
      </c>
      <c r="F220" s="444" t="s">
        <v>3183</v>
      </c>
      <c r="H220" s="445" t="s">
        <v>3181</v>
      </c>
      <c r="I220" s="4">
        <v>43646</v>
      </c>
      <c r="J220" s="1">
        <f t="shared" ref="J220:J234" si="0">J219+0.5</f>
        <v>1.5</v>
      </c>
    </row>
    <row r="221" spans="1:11" x14ac:dyDescent="0.2">
      <c r="A221" s="1" t="s">
        <v>579</v>
      </c>
      <c r="I221" s="4">
        <v>43830</v>
      </c>
      <c r="J221" s="1">
        <f t="shared" si="0"/>
        <v>2</v>
      </c>
      <c r="K221" s="1" t="s">
        <v>3177</v>
      </c>
    </row>
    <row r="222" spans="1:11" ht="17" thickBot="1" x14ac:dyDescent="0.25">
      <c r="A222" s="1" t="s">
        <v>580</v>
      </c>
      <c r="I222" s="4"/>
      <c r="J222" s="1">
        <f t="shared" si="0"/>
        <v>2.5</v>
      </c>
      <c r="K222" s="1">
        <f>C228</f>
        <v>37.5</v>
      </c>
    </row>
    <row r="223" spans="1:11" x14ac:dyDescent="0.2">
      <c r="H223" s="447" t="s">
        <v>3185</v>
      </c>
      <c r="I223" s="448"/>
      <c r="J223" s="1">
        <f t="shared" si="0"/>
        <v>3</v>
      </c>
      <c r="K223" s="1">
        <f>K222</f>
        <v>37.5</v>
      </c>
    </row>
    <row r="224" spans="1:11" x14ac:dyDescent="0.2">
      <c r="A224" s="1" t="s">
        <v>146</v>
      </c>
      <c r="H224" s="449" t="s">
        <v>3186</v>
      </c>
      <c r="I224" s="450"/>
      <c r="J224" s="1">
        <f t="shared" si="0"/>
        <v>3.5</v>
      </c>
      <c r="K224" s="1">
        <f t="shared" ref="K224:K235" si="1">K223</f>
        <v>37.5</v>
      </c>
    </row>
    <row r="225" spans="1:12" ht="17" thickBot="1" x14ac:dyDescent="0.25">
      <c r="H225" s="451" t="s">
        <v>3187</v>
      </c>
      <c r="I225" s="452"/>
      <c r="J225" s="1">
        <f t="shared" si="0"/>
        <v>4</v>
      </c>
      <c r="K225" s="1">
        <f t="shared" si="1"/>
        <v>37.5</v>
      </c>
    </row>
    <row r="226" spans="1:12" x14ac:dyDescent="0.2">
      <c r="A226" s="20">
        <v>9</v>
      </c>
      <c r="B226" s="20" t="s">
        <v>642</v>
      </c>
      <c r="C226" s="20" t="s">
        <v>642</v>
      </c>
      <c r="D226" s="20">
        <v>2</v>
      </c>
      <c r="E226" s="20">
        <v>1.5</v>
      </c>
      <c r="F226" s="20">
        <v>1</v>
      </c>
      <c r="G226" s="20">
        <v>0.5</v>
      </c>
      <c r="H226" s="20">
        <v>0</v>
      </c>
      <c r="I226" s="4"/>
      <c r="J226" s="1">
        <f t="shared" si="0"/>
        <v>4.5</v>
      </c>
      <c r="K226" s="1">
        <f t="shared" si="1"/>
        <v>37.5</v>
      </c>
    </row>
    <row r="227" spans="1:12" x14ac:dyDescent="0.2">
      <c r="A227" s="20"/>
      <c r="B227" s="20"/>
      <c r="C227" s="20"/>
      <c r="D227" s="20"/>
      <c r="E227" s="20"/>
      <c r="F227" s="20"/>
      <c r="G227" s="20"/>
      <c r="H227" s="20"/>
      <c r="I227" s="4"/>
      <c r="J227" s="1">
        <f t="shared" si="0"/>
        <v>5</v>
      </c>
      <c r="K227" s="1">
        <f t="shared" si="1"/>
        <v>37.5</v>
      </c>
    </row>
    <row r="228" spans="1:12" x14ac:dyDescent="0.2">
      <c r="A228" s="69">
        <f t="shared" ref="A228:G228" si="2">15%/2*500</f>
        <v>37.5</v>
      </c>
      <c r="B228" s="69">
        <f t="shared" si="2"/>
        <v>37.5</v>
      </c>
      <c r="C228" s="69">
        <f t="shared" si="2"/>
        <v>37.5</v>
      </c>
      <c r="D228" s="252">
        <f t="shared" si="2"/>
        <v>37.5</v>
      </c>
      <c r="E228" s="252">
        <f t="shared" si="2"/>
        <v>37.5</v>
      </c>
      <c r="F228" s="252">
        <f t="shared" si="2"/>
        <v>37.5</v>
      </c>
      <c r="G228" s="252">
        <f t="shared" si="2"/>
        <v>37.5</v>
      </c>
      <c r="H228" s="252"/>
      <c r="I228" s="4"/>
      <c r="J228" s="1">
        <f t="shared" si="0"/>
        <v>5.5</v>
      </c>
      <c r="K228" s="1">
        <f t="shared" si="1"/>
        <v>37.5</v>
      </c>
    </row>
    <row r="229" spans="1:12" x14ac:dyDescent="0.2">
      <c r="A229" s="69">
        <v>500</v>
      </c>
      <c r="B229" s="5"/>
      <c r="C229" s="5"/>
      <c r="I229" s="4"/>
      <c r="J229" s="1">
        <f t="shared" si="0"/>
        <v>6</v>
      </c>
      <c r="K229" s="1">
        <f t="shared" si="1"/>
        <v>37.5</v>
      </c>
    </row>
    <row r="230" spans="1:12" x14ac:dyDescent="0.2">
      <c r="I230" s="4"/>
      <c r="J230" s="1">
        <f t="shared" si="0"/>
        <v>6.5</v>
      </c>
      <c r="K230" s="1">
        <f t="shared" si="1"/>
        <v>37.5</v>
      </c>
    </row>
    <row r="231" spans="1:12" x14ac:dyDescent="0.2">
      <c r="C231" s="1" t="s">
        <v>3188</v>
      </c>
      <c r="I231" s="4" t="s">
        <v>3189</v>
      </c>
      <c r="J231" s="1">
        <f t="shared" si="0"/>
        <v>7</v>
      </c>
      <c r="K231" s="1">
        <f t="shared" si="1"/>
        <v>37.5</v>
      </c>
    </row>
    <row r="232" spans="1:12" x14ac:dyDescent="0.2">
      <c r="C232" s="1" t="s">
        <v>3190</v>
      </c>
      <c r="I232" s="4"/>
      <c r="J232" s="1">
        <f t="shared" si="0"/>
        <v>7.5</v>
      </c>
      <c r="K232" s="1">
        <f t="shared" si="1"/>
        <v>37.5</v>
      </c>
    </row>
    <row r="233" spans="1:12" x14ac:dyDescent="0.2">
      <c r="F233" s="1" t="s">
        <v>3191</v>
      </c>
      <c r="I233" s="4"/>
      <c r="J233" s="1">
        <f t="shared" si="0"/>
        <v>8</v>
      </c>
      <c r="K233" s="1">
        <f t="shared" si="1"/>
        <v>37.5</v>
      </c>
    </row>
    <row r="234" spans="1:12" x14ac:dyDescent="0.2">
      <c r="F234" s="1" t="s">
        <v>3192</v>
      </c>
      <c r="I234" s="4"/>
      <c r="J234" s="1">
        <f t="shared" si="0"/>
        <v>8.5</v>
      </c>
      <c r="K234" s="1">
        <f t="shared" si="1"/>
        <v>37.5</v>
      </c>
    </row>
    <row r="235" spans="1:12" x14ac:dyDescent="0.2">
      <c r="I235" s="4">
        <v>46387</v>
      </c>
      <c r="J235" s="1">
        <f>J234+0.5</f>
        <v>9</v>
      </c>
      <c r="K235" s="1">
        <f t="shared" si="1"/>
        <v>37.5</v>
      </c>
      <c r="L235" s="1">
        <v>500</v>
      </c>
    </row>
    <row r="236" spans="1:12" x14ac:dyDescent="0.2">
      <c r="D236" s="1" t="s">
        <v>1945</v>
      </c>
    </row>
    <row r="237" spans="1:12" x14ac:dyDescent="0.2">
      <c r="A237" s="1" t="s">
        <v>1947</v>
      </c>
    </row>
    <row r="238" spans="1:12" x14ac:dyDescent="0.2">
      <c r="A238" s="1" t="s">
        <v>1948</v>
      </c>
      <c r="C238" s="18" t="s">
        <v>3193</v>
      </c>
    </row>
    <row r="239" spans="1:12" x14ac:dyDescent="0.2">
      <c r="C239" s="1" t="s">
        <v>1946</v>
      </c>
    </row>
    <row r="241" spans="1:9" ht="17" thickBot="1" x14ac:dyDescent="0.25"/>
    <row r="242" spans="1:9" hidden="1" x14ac:dyDescent="0.2">
      <c r="A242" s="1" t="s">
        <v>629</v>
      </c>
    </row>
    <row r="243" spans="1:9" hidden="1" x14ac:dyDescent="0.2">
      <c r="A243" s="1" t="s">
        <v>630</v>
      </c>
    </row>
    <row r="244" spans="1:9" hidden="1" x14ac:dyDescent="0.2"/>
    <row r="245" spans="1:9" hidden="1" x14ac:dyDescent="0.2">
      <c r="A245" s="1" t="s">
        <v>631</v>
      </c>
    </row>
    <row r="246" spans="1:9" hidden="1" x14ac:dyDescent="0.2">
      <c r="A246" s="1" t="s">
        <v>632</v>
      </c>
    </row>
    <row r="247" spans="1:9" hidden="1" x14ac:dyDescent="0.2">
      <c r="A247" s="1" t="s">
        <v>633</v>
      </c>
    </row>
    <row r="248" spans="1:9" ht="17" hidden="1" thickBot="1" x14ac:dyDescent="0.25"/>
    <row r="249" spans="1:9" x14ac:dyDescent="0.2">
      <c r="B249" s="18" t="s">
        <v>449</v>
      </c>
      <c r="F249" s="43" t="s">
        <v>628</v>
      </c>
    </row>
    <row r="250" spans="1:9" x14ac:dyDescent="0.2">
      <c r="B250" s="1" t="s">
        <v>599</v>
      </c>
      <c r="F250" s="44">
        <f>7*2</f>
        <v>14</v>
      </c>
      <c r="G250" s="1" t="s">
        <v>62</v>
      </c>
    </row>
    <row r="251" spans="1:9" x14ac:dyDescent="0.2">
      <c r="B251" s="1" t="s">
        <v>565</v>
      </c>
      <c r="F251" s="44">
        <f>15%/2*500</f>
        <v>37.5</v>
      </c>
      <c r="G251" s="1" t="s">
        <v>3161</v>
      </c>
      <c r="H251" s="1" t="s">
        <v>3194</v>
      </c>
    </row>
    <row r="252" spans="1:9" x14ac:dyDescent="0.2">
      <c r="B252" s="1" t="s">
        <v>600</v>
      </c>
      <c r="F252" s="44">
        <v>19.405200000000001</v>
      </c>
      <c r="G252" s="1" t="s">
        <v>63</v>
      </c>
      <c r="H252" s="1" t="s">
        <v>634</v>
      </c>
    </row>
    <row r="253" spans="1:9" x14ac:dyDescent="0.2">
      <c r="B253" s="1" t="s">
        <v>3195</v>
      </c>
      <c r="F253" s="44">
        <v>500</v>
      </c>
      <c r="G253" s="1" t="s">
        <v>66</v>
      </c>
    </row>
    <row r="254" spans="1:9" ht="17" thickBot="1" x14ac:dyDescent="0.25">
      <c r="B254" s="1" t="s">
        <v>601</v>
      </c>
      <c r="F254" s="74">
        <f>PV(F252/100,F250,F251,F253)</f>
        <v>-218.8603337567653</v>
      </c>
      <c r="G254" s="1" t="s">
        <v>64</v>
      </c>
      <c r="H254" s="1" t="s">
        <v>77</v>
      </c>
    </row>
    <row r="256" spans="1:9" x14ac:dyDescent="0.2">
      <c r="I256" s="1" t="s">
        <v>635</v>
      </c>
    </row>
    <row r="257" spans="1:11" x14ac:dyDescent="0.2">
      <c r="I257" s="1" t="s">
        <v>636</v>
      </c>
    </row>
    <row r="258" spans="1:11" x14ac:dyDescent="0.2">
      <c r="I258" s="1" t="s">
        <v>637</v>
      </c>
    </row>
    <row r="259" spans="1:11" x14ac:dyDescent="0.2">
      <c r="H259" s="75">
        <f>1.03^6-1</f>
        <v>0.19405229652899991</v>
      </c>
    </row>
    <row r="261" spans="1:11" x14ac:dyDescent="0.2">
      <c r="B261" s="18" t="s">
        <v>638</v>
      </c>
    </row>
    <row r="266" spans="1:11" x14ac:dyDescent="0.2">
      <c r="B266" s="468">
        <f>37.5*(1-1/1.194052^14)/0.194052+500/1.194052^14</f>
        <v>218.86033375676536</v>
      </c>
    </row>
    <row r="267" spans="1:11" x14ac:dyDescent="0.2">
      <c r="B267" s="468"/>
    </row>
    <row r="271" spans="1:11" x14ac:dyDescent="0.2">
      <c r="A271" s="6" t="s">
        <v>583</v>
      </c>
      <c r="B271" s="6"/>
      <c r="C271" s="6"/>
      <c r="D271" s="6"/>
      <c r="E271" s="6"/>
      <c r="F271" s="6"/>
      <c r="G271" s="6"/>
      <c r="H271" s="6">
        <v>3.4</v>
      </c>
    </row>
    <row r="272" spans="1:11" x14ac:dyDescent="0.2">
      <c r="K272" s="35" t="s">
        <v>60</v>
      </c>
    </row>
    <row r="273" spans="1:16" x14ac:dyDescent="0.2">
      <c r="A273" s="1" t="s">
        <v>581</v>
      </c>
      <c r="J273" s="20" t="s">
        <v>75</v>
      </c>
      <c r="K273" s="1" t="s">
        <v>111</v>
      </c>
    </row>
    <row r="274" spans="1:16" x14ac:dyDescent="0.2">
      <c r="A274" s="1" t="s">
        <v>584</v>
      </c>
      <c r="J274" s="20">
        <f>((1+12.6825%)^(1/4)-1)*100</f>
        <v>3.0300993112284846</v>
      </c>
      <c r="K274" s="1" t="s">
        <v>63</v>
      </c>
      <c r="O274" s="1" t="s">
        <v>3217</v>
      </c>
    </row>
    <row r="275" spans="1:16" x14ac:dyDescent="0.2">
      <c r="A275" s="1" t="s">
        <v>654</v>
      </c>
      <c r="J275" s="20">
        <f>8*4-2*4</f>
        <v>24</v>
      </c>
      <c r="K275" s="1" t="s">
        <v>62</v>
      </c>
    </row>
    <row r="276" spans="1:16" x14ac:dyDescent="0.2">
      <c r="A276" s="1" t="s">
        <v>585</v>
      </c>
      <c r="J276" s="54">
        <f>D294</f>
        <v>-91.051519982589312</v>
      </c>
      <c r="K276" s="1" t="s">
        <v>3196</v>
      </c>
      <c r="L276" s="454" t="s">
        <v>1164</v>
      </c>
    </row>
    <row r="277" spans="1:16" x14ac:dyDescent="0.2">
      <c r="G277" s="1" t="s">
        <v>3198</v>
      </c>
      <c r="J277" s="20">
        <f>10%/4*100</f>
        <v>2.5</v>
      </c>
      <c r="K277" s="1" t="s">
        <v>3197</v>
      </c>
      <c r="O277" s="20" t="s">
        <v>3213</v>
      </c>
    </row>
    <row r="278" spans="1:16" x14ac:dyDescent="0.2">
      <c r="A278" s="1" t="s">
        <v>146</v>
      </c>
      <c r="J278" s="20">
        <v>100</v>
      </c>
      <c r="K278" s="1" t="s">
        <v>3199</v>
      </c>
      <c r="O278" s="20" t="s">
        <v>2412</v>
      </c>
      <c r="P278" s="1" t="s">
        <v>3220</v>
      </c>
    </row>
    <row r="279" spans="1:16" x14ac:dyDescent="0.2">
      <c r="N279" s="20" t="s">
        <v>493</v>
      </c>
      <c r="O279" s="20" t="s">
        <v>493</v>
      </c>
      <c r="P279" s="20" t="s">
        <v>3218</v>
      </c>
    </row>
    <row r="280" spans="1:16" x14ac:dyDescent="0.2">
      <c r="A280" s="1" t="s">
        <v>2749</v>
      </c>
      <c r="N280" s="20" t="s">
        <v>3212</v>
      </c>
      <c r="O280" s="20" t="s">
        <v>3211</v>
      </c>
      <c r="P280" s="20" t="s">
        <v>3219</v>
      </c>
    </row>
    <row r="281" spans="1:16" x14ac:dyDescent="0.2">
      <c r="A281" s="1" t="s">
        <v>2750</v>
      </c>
      <c r="J281" s="1" t="s">
        <v>3200</v>
      </c>
      <c r="M281" s="20" t="s">
        <v>1122</v>
      </c>
      <c r="N281" s="20">
        <f>27</f>
        <v>27</v>
      </c>
      <c r="O281" s="20">
        <v>25</v>
      </c>
      <c r="P281" s="20">
        <v>24</v>
      </c>
    </row>
    <row r="282" spans="1:16" x14ac:dyDescent="0.2">
      <c r="A282" s="1" t="s">
        <v>2751</v>
      </c>
      <c r="J282" s="1" t="s">
        <v>3201</v>
      </c>
    </row>
    <row r="283" spans="1:16" x14ac:dyDescent="0.2">
      <c r="A283" s="1" t="s">
        <v>2752</v>
      </c>
      <c r="J283" s="1" t="s">
        <v>3202</v>
      </c>
      <c r="N283" s="20">
        <v>2.5</v>
      </c>
      <c r="P283" s="20" t="s">
        <v>3223</v>
      </c>
    </row>
    <row r="284" spans="1:16" x14ac:dyDescent="0.2">
      <c r="A284" s="1" t="s">
        <v>2753</v>
      </c>
      <c r="J284" s="1" t="s">
        <v>3203</v>
      </c>
      <c r="P284" s="20" t="s">
        <v>3221</v>
      </c>
    </row>
    <row r="285" spans="1:16" x14ac:dyDescent="0.2">
      <c r="J285" s="1" t="s">
        <v>3204</v>
      </c>
      <c r="N285" s="20" t="s">
        <v>64</v>
      </c>
      <c r="P285" s="20" t="s">
        <v>3222</v>
      </c>
    </row>
    <row r="286" spans="1:16" x14ac:dyDescent="0.2">
      <c r="F286" s="461" t="s">
        <v>2760</v>
      </c>
      <c r="G286" s="461"/>
      <c r="J286" s="1" t="s">
        <v>3205</v>
      </c>
      <c r="N286" s="20" t="s">
        <v>3214</v>
      </c>
      <c r="P286" s="20" t="s">
        <v>3224</v>
      </c>
    </row>
    <row r="287" spans="1:16" x14ac:dyDescent="0.2">
      <c r="E287" s="1" t="s">
        <v>2754</v>
      </c>
      <c r="J287" s="1" t="s">
        <v>3206</v>
      </c>
      <c r="N287" s="20" t="s">
        <v>3215</v>
      </c>
      <c r="P287" s="20" t="s">
        <v>3225</v>
      </c>
    </row>
    <row r="288" spans="1:16" x14ac:dyDescent="0.2">
      <c r="E288" s="20" t="s">
        <v>2755</v>
      </c>
      <c r="F288" s="20" t="s">
        <v>2748</v>
      </c>
      <c r="G288" s="20">
        <v>2</v>
      </c>
      <c r="J288" s="1" t="s">
        <v>3207</v>
      </c>
      <c r="N288" s="20" t="s">
        <v>2681</v>
      </c>
      <c r="P288" s="20" t="s">
        <v>3226</v>
      </c>
    </row>
    <row r="289" spans="1:16" x14ac:dyDescent="0.2">
      <c r="F289" s="20"/>
      <c r="J289" s="1" t="s">
        <v>3208</v>
      </c>
      <c r="N289" s="20" t="s">
        <v>1883</v>
      </c>
      <c r="P289" s="20" t="s">
        <v>3227</v>
      </c>
    </row>
    <row r="290" spans="1:16" x14ac:dyDescent="0.2">
      <c r="F290" s="20" t="s">
        <v>2747</v>
      </c>
      <c r="G290" s="152"/>
      <c r="J290" s="1" t="s">
        <v>3209</v>
      </c>
      <c r="N290" s="20" t="s">
        <v>3216</v>
      </c>
    </row>
    <row r="291" spans="1:16" x14ac:dyDescent="0.2">
      <c r="D291" s="20" t="s">
        <v>75</v>
      </c>
      <c r="E291" s="20" t="s">
        <v>61</v>
      </c>
      <c r="F291" s="20" t="s">
        <v>1140</v>
      </c>
      <c r="J291" s="1" t="s">
        <v>3210</v>
      </c>
      <c r="N291" s="20" t="s">
        <v>131</v>
      </c>
    </row>
    <row r="292" spans="1:16" x14ac:dyDescent="0.2">
      <c r="D292" s="20">
        <v>24</v>
      </c>
      <c r="E292" s="20" t="s">
        <v>62</v>
      </c>
    </row>
    <row r="293" spans="1:16" x14ac:dyDescent="0.2">
      <c r="A293" s="1" t="s">
        <v>2756</v>
      </c>
      <c r="D293" s="20">
        <f>((1+12.6825%)^(1/4)-1)*100</f>
        <v>3.0300993112284846</v>
      </c>
      <c r="E293" s="20" t="s">
        <v>63</v>
      </c>
      <c r="F293" s="1" t="s">
        <v>2757</v>
      </c>
      <c r="M293" s="5">
        <f>-J276*1.126825^(1/12)</f>
        <v>91.962034977488599</v>
      </c>
      <c r="P293" s="1" t="s">
        <v>2770</v>
      </c>
    </row>
    <row r="294" spans="1:16" x14ac:dyDescent="0.2">
      <c r="D294" s="351">
        <f>PV(D293/100,D292,D295,D296)</f>
        <v>-91.051519982589312</v>
      </c>
      <c r="E294" s="20" t="s">
        <v>64</v>
      </c>
      <c r="F294" s="20" t="s">
        <v>227</v>
      </c>
      <c r="M294" s="1" t="s">
        <v>259</v>
      </c>
    </row>
    <row r="295" spans="1:16" x14ac:dyDescent="0.2">
      <c r="A295" s="1" t="s">
        <v>2758</v>
      </c>
      <c r="D295" s="20">
        <v>2.5</v>
      </c>
      <c r="E295" s="20" t="s">
        <v>65</v>
      </c>
      <c r="G295" s="1" t="s">
        <v>2759</v>
      </c>
    </row>
    <row r="296" spans="1:16" x14ac:dyDescent="0.2">
      <c r="A296" s="1" t="s">
        <v>567</v>
      </c>
      <c r="D296" s="20">
        <v>100</v>
      </c>
      <c r="E296" s="20" t="s">
        <v>66</v>
      </c>
    </row>
    <row r="298" spans="1:16" x14ac:dyDescent="0.2">
      <c r="A298" s="1" t="s">
        <v>2761</v>
      </c>
      <c r="B298" s="1" t="s">
        <v>2762</v>
      </c>
    </row>
    <row r="299" spans="1:16" x14ac:dyDescent="0.2">
      <c r="B299" s="1" t="s">
        <v>2763</v>
      </c>
    </row>
    <row r="300" spans="1:16" x14ac:dyDescent="0.2">
      <c r="B300" s="1" t="s">
        <v>2764</v>
      </c>
    </row>
    <row r="301" spans="1:16" x14ac:dyDescent="0.2">
      <c r="B301" s="1" t="s">
        <v>2765</v>
      </c>
    </row>
    <row r="302" spans="1:16" x14ac:dyDescent="0.2">
      <c r="B302" s="1" t="s">
        <v>2766</v>
      </c>
    </row>
    <row r="303" spans="1:16" x14ac:dyDescent="0.2">
      <c r="A303" s="1" t="s">
        <v>2761</v>
      </c>
      <c r="B303" s="1" t="s">
        <v>2767</v>
      </c>
    </row>
    <row r="304" spans="1:16" x14ac:dyDescent="0.2">
      <c r="B304" s="1" t="s">
        <v>2768</v>
      </c>
    </row>
    <row r="305" spans="1:8" x14ac:dyDescent="0.2">
      <c r="B305" s="353">
        <f>-D294*(1+12.6825%)^(1/12)</f>
        <v>91.962034977488599</v>
      </c>
      <c r="E305" s="1" t="s">
        <v>2770</v>
      </c>
      <c r="F305" s="1" t="s">
        <v>2769</v>
      </c>
    </row>
    <row r="306" spans="1:8" x14ac:dyDescent="0.2">
      <c r="B306" s="319" t="s">
        <v>259</v>
      </c>
    </row>
    <row r="309" spans="1:8" x14ac:dyDescent="0.2">
      <c r="A309" s="1" t="s">
        <v>3228</v>
      </c>
      <c r="D309" s="20" t="s">
        <v>75</v>
      </c>
      <c r="E309" s="20" t="s">
        <v>61</v>
      </c>
    </row>
    <row r="310" spans="1:8" x14ac:dyDescent="0.2">
      <c r="A310" s="1" t="s">
        <v>3230</v>
      </c>
      <c r="D310" s="352">
        <f>1/12</f>
        <v>8.3333333333333329E-2</v>
      </c>
      <c r="E310" s="20" t="s">
        <v>62</v>
      </c>
      <c r="F310" s="1" t="s">
        <v>3229</v>
      </c>
    </row>
    <row r="311" spans="1:8" x14ac:dyDescent="0.2">
      <c r="D311" s="20">
        <v>12.682499999999999</v>
      </c>
      <c r="E311" s="20" t="s">
        <v>63</v>
      </c>
    </row>
    <row r="312" spans="1:8" x14ac:dyDescent="0.2">
      <c r="D312" s="351">
        <f>D294</f>
        <v>-91.051519982589312</v>
      </c>
      <c r="E312" s="20" t="s">
        <v>64</v>
      </c>
    </row>
    <row r="313" spans="1:8" x14ac:dyDescent="0.2">
      <c r="D313" s="20">
        <v>0</v>
      </c>
      <c r="E313" s="20" t="s">
        <v>65</v>
      </c>
    </row>
    <row r="314" spans="1:8" x14ac:dyDescent="0.2">
      <c r="D314" s="354">
        <f>FV(D311/100,D310,D313,D312)</f>
        <v>91.962034977488599</v>
      </c>
      <c r="E314" s="20" t="s">
        <v>66</v>
      </c>
      <c r="F314" s="1" t="s">
        <v>227</v>
      </c>
    </row>
    <row r="315" spans="1:8" x14ac:dyDescent="0.2">
      <c r="E315" s="20"/>
    </row>
    <row r="316" spans="1:8" x14ac:dyDescent="0.2">
      <c r="E316" s="20"/>
    </row>
    <row r="317" spans="1:8" x14ac:dyDescent="0.2">
      <c r="A317" s="10" t="s">
        <v>3231</v>
      </c>
      <c r="B317" s="10"/>
      <c r="C317" s="10"/>
      <c r="D317" s="10"/>
      <c r="E317" s="27"/>
      <c r="F317" s="10"/>
      <c r="G317" s="10"/>
      <c r="H317" s="10"/>
    </row>
    <row r="318" spans="1:8" x14ac:dyDescent="0.2">
      <c r="A318" s="1" t="s">
        <v>3247</v>
      </c>
      <c r="E318" s="20"/>
    </row>
    <row r="319" spans="1:8" x14ac:dyDescent="0.2">
      <c r="A319" s="1" t="s">
        <v>3232</v>
      </c>
      <c r="E319" s="20"/>
    </row>
    <row r="320" spans="1:8" x14ac:dyDescent="0.2">
      <c r="A320" s="1" t="s">
        <v>3233</v>
      </c>
      <c r="E320" s="20"/>
    </row>
    <row r="321" spans="2:9" x14ac:dyDescent="0.2">
      <c r="E321" s="20"/>
    </row>
    <row r="322" spans="2:9" x14ac:dyDescent="0.2">
      <c r="E322" s="20"/>
    </row>
    <row r="323" spans="2:9" x14ac:dyDescent="0.2">
      <c r="D323" s="27" t="s">
        <v>1568</v>
      </c>
      <c r="E323" s="27" t="s">
        <v>1567</v>
      </c>
      <c r="F323" s="10" t="s">
        <v>60</v>
      </c>
    </row>
    <row r="324" spans="2:9" x14ac:dyDescent="0.2">
      <c r="D324" s="20" t="s">
        <v>75</v>
      </c>
      <c r="E324" s="20" t="s">
        <v>75</v>
      </c>
      <c r="F324" s="1" t="s">
        <v>111</v>
      </c>
    </row>
    <row r="325" spans="2:9" x14ac:dyDescent="0.2">
      <c r="B325" s="1" t="s">
        <v>3239</v>
      </c>
      <c r="D325" s="20">
        <f>4/12</f>
        <v>0.33333333333333331</v>
      </c>
      <c r="E325" s="20">
        <f>10*2-4.5*2</f>
        <v>11</v>
      </c>
      <c r="F325" s="1" t="s">
        <v>62</v>
      </c>
      <c r="G325" s="321" t="s">
        <v>3234</v>
      </c>
    </row>
    <row r="326" spans="2:9" x14ac:dyDescent="0.2">
      <c r="B326" s="1" t="s">
        <v>3238</v>
      </c>
      <c r="D326" s="20">
        <v>9</v>
      </c>
      <c r="E326" s="20">
        <f>((1+9%)^0.5-1)*100</f>
        <v>4.4030650891055068</v>
      </c>
      <c r="F326" s="1" t="s">
        <v>63</v>
      </c>
      <c r="G326" s="321" t="s">
        <v>3235</v>
      </c>
    </row>
    <row r="327" spans="2:9" x14ac:dyDescent="0.2">
      <c r="D327" s="30">
        <f>E327</f>
        <v>-175.94279969108422</v>
      </c>
      <c r="E327" s="54">
        <f>PV(E326/100,E325,E328,E329)</f>
        <v>-175.94279969108422</v>
      </c>
      <c r="F327" s="1" t="s">
        <v>64</v>
      </c>
      <c r="G327" s="212" t="s">
        <v>227</v>
      </c>
      <c r="H327" s="321" t="s">
        <v>3236</v>
      </c>
    </row>
    <row r="328" spans="2:9" x14ac:dyDescent="0.2">
      <c r="D328" s="20">
        <v>0</v>
      </c>
      <c r="E328" s="20">
        <f>6%/2*200</f>
        <v>6</v>
      </c>
      <c r="F328" s="1" t="s">
        <v>65</v>
      </c>
      <c r="G328" s="321" t="s">
        <v>3237</v>
      </c>
    </row>
    <row r="329" spans="2:9" x14ac:dyDescent="0.2">
      <c r="C329" s="212" t="s">
        <v>227</v>
      </c>
      <c r="D329" s="455">
        <f>D337</f>
        <v>181.07020684957891</v>
      </c>
      <c r="E329" s="20">
        <v>200</v>
      </c>
      <c r="F329" s="1" t="s">
        <v>66</v>
      </c>
      <c r="G329" s="321" t="s">
        <v>656</v>
      </c>
    </row>
    <row r="330" spans="2:9" x14ac:dyDescent="0.2">
      <c r="D330" s="20" t="s">
        <v>259</v>
      </c>
      <c r="E330" s="20"/>
    </row>
    <row r="331" spans="2:9" x14ac:dyDescent="0.2">
      <c r="E331" s="20"/>
    </row>
    <row r="332" spans="2:9" x14ac:dyDescent="0.2">
      <c r="B332" s="1" t="s">
        <v>3241</v>
      </c>
      <c r="E332" s="20"/>
    </row>
    <row r="333" spans="2:9" x14ac:dyDescent="0.2">
      <c r="B333" s="1" t="s">
        <v>3242</v>
      </c>
      <c r="E333" s="20"/>
    </row>
    <row r="334" spans="2:9" x14ac:dyDescent="0.2">
      <c r="B334" s="467" t="s">
        <v>3240</v>
      </c>
      <c r="C334" s="467"/>
      <c r="D334" s="467"/>
      <c r="E334" s="467"/>
      <c r="F334" s="467"/>
      <c r="G334" s="467"/>
      <c r="H334" s="467"/>
      <c r="I334" s="467"/>
    </row>
    <row r="335" spans="2:9" x14ac:dyDescent="0.2">
      <c r="C335" s="1" t="s">
        <v>3243</v>
      </c>
      <c r="E335" s="20"/>
    </row>
    <row r="336" spans="2:9" x14ac:dyDescent="0.2">
      <c r="C336" s="1" t="s">
        <v>3244</v>
      </c>
      <c r="E336" s="20"/>
    </row>
    <row r="337" spans="1:9" x14ac:dyDescent="0.2">
      <c r="D337" s="456">
        <f>-E327*1.09^(4/12)</f>
        <v>181.07020684957891</v>
      </c>
      <c r="E337" s="20"/>
      <c r="F337" s="1" t="s">
        <v>3245</v>
      </c>
      <c r="G337" s="1" t="s">
        <v>3246</v>
      </c>
    </row>
    <row r="338" spans="1:9" x14ac:dyDescent="0.2">
      <c r="D338" s="1" t="s">
        <v>259</v>
      </c>
      <c r="E338" s="20"/>
    </row>
    <row r="339" spans="1:9" x14ac:dyDescent="0.2">
      <c r="E339" s="20"/>
    </row>
    <row r="340" spans="1:9" x14ac:dyDescent="0.2">
      <c r="A340" s="453"/>
      <c r="B340" s="453"/>
      <c r="C340" s="453"/>
      <c r="D340" s="453"/>
      <c r="E340" s="431"/>
      <c r="F340" s="453"/>
      <c r="G340" s="453"/>
      <c r="H340" s="453"/>
      <c r="I340" s="453"/>
    </row>
    <row r="341" spans="1:9" x14ac:dyDescent="0.2">
      <c r="E341" s="20"/>
    </row>
    <row r="342" spans="1:9" x14ac:dyDescent="0.2">
      <c r="A342" s="18" t="s">
        <v>3248</v>
      </c>
      <c r="E342" s="20"/>
    </row>
    <row r="343" spans="1:9" x14ac:dyDescent="0.2">
      <c r="E343" s="20"/>
    </row>
    <row r="344" spans="1:9" x14ac:dyDescent="0.2">
      <c r="A344" s="1" t="s">
        <v>639</v>
      </c>
    </row>
    <row r="345" spans="1:9" x14ac:dyDescent="0.2">
      <c r="A345" s="1" t="s">
        <v>640</v>
      </c>
    </row>
    <row r="347" spans="1:9" x14ac:dyDescent="0.2">
      <c r="C347" s="20" t="s">
        <v>64</v>
      </c>
      <c r="D347" s="78" t="s">
        <v>657</v>
      </c>
    </row>
    <row r="348" spans="1:9" x14ac:dyDescent="0.2">
      <c r="E348" s="78" t="s">
        <v>658</v>
      </c>
    </row>
    <row r="349" spans="1:9" x14ac:dyDescent="0.2">
      <c r="A349" s="20">
        <v>96</v>
      </c>
      <c r="B349" s="20">
        <v>27</v>
      </c>
      <c r="C349" s="20">
        <v>25</v>
      </c>
      <c r="D349" s="20">
        <v>24</v>
      </c>
      <c r="E349" s="20" t="s">
        <v>642</v>
      </c>
      <c r="F349" s="20">
        <v>6</v>
      </c>
      <c r="G349" s="20">
        <v>3</v>
      </c>
      <c r="H349" s="20">
        <v>0</v>
      </c>
    </row>
    <row r="350" spans="1:9" x14ac:dyDescent="0.2">
      <c r="A350" s="20"/>
      <c r="E350" s="20"/>
      <c r="F350" s="20"/>
      <c r="G350" s="20"/>
      <c r="H350" s="20"/>
      <c r="I350" s="1" t="s">
        <v>503</v>
      </c>
    </row>
    <row r="351" spans="1:9" x14ac:dyDescent="0.2">
      <c r="A351" s="20" t="s">
        <v>270</v>
      </c>
      <c r="B351" s="20" t="s">
        <v>65</v>
      </c>
      <c r="D351" s="76" t="s">
        <v>65</v>
      </c>
      <c r="E351" s="76" t="s">
        <v>65</v>
      </c>
      <c r="F351" s="76" t="s">
        <v>65</v>
      </c>
      <c r="G351" s="76" t="s">
        <v>65</v>
      </c>
      <c r="H351" s="20"/>
    </row>
    <row r="352" spans="1:9" x14ac:dyDescent="0.2">
      <c r="A352" s="20" t="s">
        <v>641</v>
      </c>
    </row>
    <row r="353" spans="1:8" x14ac:dyDescent="0.2">
      <c r="E353" s="1" t="s">
        <v>643</v>
      </c>
    </row>
    <row r="354" spans="1:8" x14ac:dyDescent="0.2">
      <c r="C354" s="20" t="s">
        <v>647</v>
      </c>
      <c r="E354" s="1" t="s">
        <v>644</v>
      </c>
    </row>
    <row r="355" spans="1:8" x14ac:dyDescent="0.2">
      <c r="C355" s="20" t="s">
        <v>648</v>
      </c>
      <c r="E355" s="1" t="s">
        <v>645</v>
      </c>
    </row>
    <row r="356" spans="1:8" x14ac:dyDescent="0.2">
      <c r="C356" s="20" t="s">
        <v>649</v>
      </c>
      <c r="E356" s="1" t="s">
        <v>646</v>
      </c>
    </row>
    <row r="357" spans="1:8" x14ac:dyDescent="0.2">
      <c r="C357" s="20" t="s">
        <v>650</v>
      </c>
    </row>
    <row r="359" spans="1:8" ht="17" thickBot="1" x14ac:dyDescent="0.25"/>
    <row r="360" spans="1:8" x14ac:dyDescent="0.2">
      <c r="A360" s="43">
        <f>6*4</f>
        <v>24</v>
      </c>
      <c r="B360" s="20" t="s">
        <v>651</v>
      </c>
      <c r="C360" s="1" t="s">
        <v>652</v>
      </c>
    </row>
    <row r="361" spans="1:8" x14ac:dyDescent="0.2">
      <c r="A361" s="44">
        <f>10%/4*100</f>
        <v>2.5</v>
      </c>
      <c r="B361" s="20" t="s">
        <v>612</v>
      </c>
      <c r="C361" s="1" t="s">
        <v>653</v>
      </c>
    </row>
    <row r="362" spans="1:8" x14ac:dyDescent="0.2">
      <c r="A362" s="44">
        <v>3.0301</v>
      </c>
      <c r="B362" s="20" t="s">
        <v>63</v>
      </c>
      <c r="C362" s="1" t="s">
        <v>655</v>
      </c>
      <c r="H362" s="75">
        <f>1.126825^0.25-1</f>
        <v>3.0300993112284846E-2</v>
      </c>
    </row>
    <row r="363" spans="1:8" x14ac:dyDescent="0.2">
      <c r="A363" s="44">
        <v>100</v>
      </c>
      <c r="B363" s="20" t="s">
        <v>66</v>
      </c>
      <c r="C363" s="1" t="s">
        <v>656</v>
      </c>
    </row>
    <row r="364" spans="1:8" ht="17" thickBot="1" x14ac:dyDescent="0.25">
      <c r="A364" s="77">
        <f>PV(A362/100,A360,A361,A363)</f>
        <v>-91.051509018534006</v>
      </c>
      <c r="B364" s="20" t="s">
        <v>64</v>
      </c>
      <c r="C364" s="1" t="s">
        <v>77</v>
      </c>
    </row>
    <row r="366" spans="1:8" x14ac:dyDescent="0.2">
      <c r="A366" s="1" t="s">
        <v>659</v>
      </c>
    </row>
    <row r="367" spans="1:8" x14ac:dyDescent="0.2">
      <c r="H367" s="37">
        <v>0.01</v>
      </c>
    </row>
    <row r="370" spans="1:3" x14ac:dyDescent="0.2">
      <c r="A370" s="1" t="s">
        <v>660</v>
      </c>
      <c r="C370" s="50">
        <f>91.05*(1+1%)</f>
        <v>91.960499999999996</v>
      </c>
    </row>
    <row r="372" spans="1:3" x14ac:dyDescent="0.2">
      <c r="A372" s="1" t="s">
        <v>661</v>
      </c>
    </row>
    <row r="373" spans="1:3" x14ac:dyDescent="0.2">
      <c r="A373" s="1" t="s">
        <v>662</v>
      </c>
    </row>
    <row r="374" spans="1:3" x14ac:dyDescent="0.2">
      <c r="A374" s="1" t="s">
        <v>663</v>
      </c>
    </row>
    <row r="375" spans="1:3" x14ac:dyDescent="0.2">
      <c r="A375" s="1" t="s">
        <v>664</v>
      </c>
    </row>
    <row r="377" spans="1:3" x14ac:dyDescent="0.2">
      <c r="A377" s="1" t="s">
        <v>403</v>
      </c>
    </row>
    <row r="381" spans="1:3" x14ac:dyDescent="0.2">
      <c r="B381" s="50">
        <f>(2.5*(1-1/1.030301^24)/0.030301+100/1.030301^24)*1.01</f>
        <v>91.962024108719348</v>
      </c>
    </row>
    <row r="383" spans="1:3" x14ac:dyDescent="0.2">
      <c r="A383" s="1" t="s">
        <v>665</v>
      </c>
    </row>
    <row r="384" spans="1:3" x14ac:dyDescent="0.2">
      <c r="A384" s="1" t="s">
        <v>666</v>
      </c>
    </row>
  </sheetData>
  <mergeCells count="7">
    <mergeCell ref="K179:K180"/>
    <mergeCell ref="K183:K184"/>
    <mergeCell ref="B334:I334"/>
    <mergeCell ref="D207:D208"/>
    <mergeCell ref="D210:D211"/>
    <mergeCell ref="B266:B267"/>
    <mergeCell ref="F286:G286"/>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DE8B11-8EBA-AC47-AECC-1048572574C1}">
  <dimension ref="A1:K171"/>
  <sheetViews>
    <sheetView rightToLeft="1" tabSelected="1" zoomScale="241" zoomScaleNormal="400" workbookViewId="0">
      <selection activeCell="I3" sqref="I3:I4"/>
    </sheetView>
  </sheetViews>
  <sheetFormatPr baseColWidth="10" defaultRowHeight="16" x14ac:dyDescent="0.2"/>
  <cols>
    <col min="1" max="16384" width="10.83203125" style="1"/>
  </cols>
  <sheetData>
    <row r="1" spans="1:8" x14ac:dyDescent="0.2">
      <c r="A1" s="1" t="s">
        <v>3346</v>
      </c>
      <c r="H1" s="4"/>
    </row>
    <row r="2" spans="1:8" ht="17" thickBot="1" x14ac:dyDescent="0.25"/>
    <row r="3" spans="1:8" x14ac:dyDescent="0.2">
      <c r="A3" s="12" t="s">
        <v>1949</v>
      </c>
      <c r="B3" s="13"/>
      <c r="C3" s="13"/>
      <c r="D3" s="13"/>
      <c r="E3" s="13"/>
      <c r="F3" s="13"/>
      <c r="G3" s="13"/>
      <c r="H3" s="14"/>
    </row>
    <row r="4" spans="1:8" x14ac:dyDescent="0.2">
      <c r="A4" s="72" t="s">
        <v>1950</v>
      </c>
      <c r="H4" s="73"/>
    </row>
    <row r="5" spans="1:8" x14ac:dyDescent="0.2">
      <c r="A5" s="72" t="s">
        <v>1951</v>
      </c>
      <c r="H5" s="73"/>
    </row>
    <row r="6" spans="1:8" x14ac:dyDescent="0.2">
      <c r="A6" s="72" t="s">
        <v>1952</v>
      </c>
      <c r="H6" s="73"/>
    </row>
    <row r="7" spans="1:8" ht="17" thickBot="1" x14ac:dyDescent="0.25">
      <c r="A7" s="15" t="s">
        <v>1953</v>
      </c>
      <c r="B7" s="16"/>
      <c r="C7" s="16"/>
      <c r="D7" s="16"/>
      <c r="E7" s="16"/>
      <c r="F7" s="16"/>
      <c r="G7" s="16"/>
      <c r="H7" s="17"/>
    </row>
    <row r="9" spans="1:8" x14ac:dyDescent="0.2">
      <c r="A9" s="6" t="s">
        <v>1954</v>
      </c>
      <c r="B9" s="6"/>
      <c r="C9" s="6"/>
      <c r="D9" s="6"/>
      <c r="E9" s="6"/>
      <c r="F9" s="6"/>
      <c r="G9" s="6"/>
      <c r="H9" s="6">
        <v>3.1</v>
      </c>
    </row>
    <row r="11" spans="1:8" x14ac:dyDescent="0.2">
      <c r="A11" s="1" t="s">
        <v>1955</v>
      </c>
    </row>
    <row r="12" spans="1:8" x14ac:dyDescent="0.2">
      <c r="A12" s="1" t="s">
        <v>1956</v>
      </c>
    </row>
    <row r="13" spans="1:8" x14ac:dyDescent="0.2">
      <c r="A13" s="1" t="s">
        <v>1957</v>
      </c>
    </row>
    <row r="14" spans="1:8" x14ac:dyDescent="0.2">
      <c r="A14" s="1" t="s">
        <v>1958</v>
      </c>
    </row>
    <row r="15" spans="1:8" x14ac:dyDescent="0.2">
      <c r="A15" s="1" t="s">
        <v>1959</v>
      </c>
    </row>
    <row r="16" spans="1:8" x14ac:dyDescent="0.2">
      <c r="A16" s="1" t="s">
        <v>1960</v>
      </c>
    </row>
    <row r="18" spans="1:9" x14ac:dyDescent="0.2">
      <c r="A18" s="1" t="s">
        <v>146</v>
      </c>
    </row>
    <row r="20" spans="1:9" x14ac:dyDescent="0.2">
      <c r="A20" s="1" t="s">
        <v>1961</v>
      </c>
    </row>
    <row r="21" spans="1:9" x14ac:dyDescent="0.2">
      <c r="A21" s="1" t="s">
        <v>1962</v>
      </c>
      <c r="H21" s="50">
        <f>-F29</f>
        <v>1049.1117929163343</v>
      </c>
      <c r="I21" s="1" t="s">
        <v>1968</v>
      </c>
    </row>
    <row r="22" spans="1:9" x14ac:dyDescent="0.2">
      <c r="A22" s="1" t="s">
        <v>1964</v>
      </c>
      <c r="H22" s="1" t="s">
        <v>1977</v>
      </c>
    </row>
    <row r="23" spans="1:9" x14ac:dyDescent="0.2">
      <c r="A23" s="1" t="s">
        <v>1963</v>
      </c>
      <c r="H23" s="50">
        <f>-A29</f>
        <v>908.82707639199339</v>
      </c>
      <c r="I23" s="1" t="s">
        <v>1968</v>
      </c>
    </row>
    <row r="25" spans="1:9" x14ac:dyDescent="0.2">
      <c r="A25" s="27" t="s">
        <v>173</v>
      </c>
      <c r="B25" s="10" t="s">
        <v>60</v>
      </c>
      <c r="F25" s="27" t="s">
        <v>171</v>
      </c>
      <c r="G25" s="10" t="s">
        <v>60</v>
      </c>
    </row>
    <row r="26" spans="1:9" ht="17" thickBot="1" x14ac:dyDescent="0.25">
      <c r="A26" s="20" t="s">
        <v>75</v>
      </c>
      <c r="B26" s="1" t="s">
        <v>111</v>
      </c>
      <c r="F26" s="20" t="s">
        <v>75</v>
      </c>
      <c r="G26" s="1" t="s">
        <v>111</v>
      </c>
    </row>
    <row r="27" spans="1:9" x14ac:dyDescent="0.2">
      <c r="A27" s="255">
        <v>9</v>
      </c>
      <c r="B27" s="14" t="s">
        <v>62</v>
      </c>
      <c r="C27" s="1" t="s">
        <v>1971</v>
      </c>
      <c r="F27" s="255">
        <v>15</v>
      </c>
      <c r="G27" s="14" t="s">
        <v>62</v>
      </c>
      <c r="H27" s="1" t="s">
        <v>1965</v>
      </c>
    </row>
    <row r="28" spans="1:9" ht="17" thickBot="1" x14ac:dyDescent="0.25">
      <c r="A28" s="162">
        <v>6</v>
      </c>
      <c r="B28" s="17" t="s">
        <v>63</v>
      </c>
      <c r="C28" s="1" t="s">
        <v>1970</v>
      </c>
      <c r="F28" s="162">
        <v>5</v>
      </c>
      <c r="G28" s="17" t="s">
        <v>63</v>
      </c>
      <c r="H28" s="1" t="s">
        <v>1969</v>
      </c>
    </row>
    <row r="29" spans="1:9" x14ac:dyDescent="0.2">
      <c r="A29" s="50">
        <f>PV(A28/100,A27,A30,A31)</f>
        <v>-908.82707639199339</v>
      </c>
      <c r="B29" s="1" t="s">
        <v>64</v>
      </c>
      <c r="F29" s="50">
        <f>PV(F28/100,F27,F30,F31)</f>
        <v>-1049.1117929163343</v>
      </c>
      <c r="G29" s="1" t="s">
        <v>64</v>
      </c>
      <c r="H29" s="254" t="s">
        <v>77</v>
      </c>
    </row>
    <row r="30" spans="1:9" x14ac:dyDescent="0.2">
      <c r="A30" s="20">
        <f>F30</f>
        <v>64</v>
      </c>
      <c r="B30" s="1" t="s">
        <v>65</v>
      </c>
      <c r="C30" s="1" t="s">
        <v>1972</v>
      </c>
      <c r="F30" s="20">
        <f>8%*800</f>
        <v>64</v>
      </c>
      <c r="G30" s="1" t="s">
        <v>65</v>
      </c>
      <c r="H30" s="1" t="s">
        <v>1966</v>
      </c>
    </row>
    <row r="31" spans="1:9" x14ac:dyDescent="0.2">
      <c r="A31" s="20">
        <v>800</v>
      </c>
      <c r="B31" s="1" t="s">
        <v>66</v>
      </c>
      <c r="C31" s="1" t="s">
        <v>1973</v>
      </c>
      <c r="F31" s="20">
        <v>800</v>
      </c>
      <c r="G31" s="1" t="s">
        <v>66</v>
      </c>
      <c r="H31" s="1" t="s">
        <v>1967</v>
      </c>
    </row>
    <row r="33" spans="1:8" x14ac:dyDescent="0.2">
      <c r="A33" s="1" t="s">
        <v>1974</v>
      </c>
    </row>
    <row r="34" spans="1:8" x14ac:dyDescent="0.2">
      <c r="A34" s="1" t="s">
        <v>1975</v>
      </c>
    </row>
    <row r="36" spans="1:8" x14ac:dyDescent="0.2">
      <c r="A36" s="256" t="s">
        <v>1976</v>
      </c>
      <c r="B36" s="10"/>
      <c r="C36" s="10"/>
      <c r="D36" s="10"/>
      <c r="F36" s="27"/>
      <c r="G36" s="10" t="s">
        <v>60</v>
      </c>
    </row>
    <row r="37" spans="1:8" x14ac:dyDescent="0.2">
      <c r="F37" s="20" t="s">
        <v>75</v>
      </c>
      <c r="G37" s="1" t="s">
        <v>111</v>
      </c>
    </row>
    <row r="38" spans="1:8" ht="17" thickBot="1" x14ac:dyDescent="0.25">
      <c r="A38" s="1" t="s">
        <v>1979</v>
      </c>
      <c r="F38" s="20">
        <v>6</v>
      </c>
      <c r="G38" s="1" t="s">
        <v>62</v>
      </c>
      <c r="H38" s="1" t="s">
        <v>1978</v>
      </c>
    </row>
    <row r="39" spans="1:8" ht="17" thickBot="1" x14ac:dyDescent="0.25">
      <c r="A39" s="1" t="s">
        <v>1985</v>
      </c>
      <c r="F39" s="257">
        <f>RATE(F38,F41,F40,F42)</f>
        <v>4.0889491801318303E-2</v>
      </c>
      <c r="G39" s="1" t="s">
        <v>63</v>
      </c>
      <c r="H39" s="42" t="s">
        <v>77</v>
      </c>
    </row>
    <row r="40" spans="1:8" x14ac:dyDescent="0.2">
      <c r="A40" s="1" t="s">
        <v>1982</v>
      </c>
      <c r="F40" s="50">
        <f>F29</f>
        <v>-1049.1117929163343</v>
      </c>
      <c r="G40" s="1" t="s">
        <v>64</v>
      </c>
      <c r="H40" s="1" t="s">
        <v>1981</v>
      </c>
    </row>
    <row r="41" spans="1:8" x14ac:dyDescent="0.2">
      <c r="A41" s="1" t="s">
        <v>1980</v>
      </c>
      <c r="F41" s="20">
        <f>F30</f>
        <v>64</v>
      </c>
      <c r="G41" s="1" t="s">
        <v>65</v>
      </c>
    </row>
    <row r="42" spans="1:8" x14ac:dyDescent="0.2">
      <c r="A42" s="1" t="s">
        <v>1984</v>
      </c>
      <c r="F42" s="50">
        <f>-A29</f>
        <v>908.82707639199339</v>
      </c>
      <c r="G42" s="1" t="s">
        <v>66</v>
      </c>
      <c r="H42" s="1" t="s">
        <v>1983</v>
      </c>
    </row>
    <row r="44" spans="1:8" x14ac:dyDescent="0.2">
      <c r="A44" s="6" t="s">
        <v>1986</v>
      </c>
      <c r="B44" s="6"/>
      <c r="C44" s="6"/>
      <c r="D44" s="6"/>
      <c r="E44" s="6"/>
      <c r="F44" s="6"/>
      <c r="G44" s="6"/>
      <c r="H44" s="6"/>
    </row>
    <row r="46" spans="1:8" x14ac:dyDescent="0.2">
      <c r="A46" s="1" t="s">
        <v>1987</v>
      </c>
    </row>
    <row r="47" spans="1:8" x14ac:dyDescent="0.2">
      <c r="A47" s="1" t="s">
        <v>1988</v>
      </c>
    </row>
    <row r="48" spans="1:8" x14ac:dyDescent="0.2">
      <c r="A48" s="1" t="s">
        <v>1989</v>
      </c>
    </row>
    <row r="49" spans="1:8" x14ac:dyDescent="0.2">
      <c r="A49" s="1" t="s">
        <v>1990</v>
      </c>
    </row>
    <row r="50" spans="1:8" x14ac:dyDescent="0.2">
      <c r="A50" s="1" t="s">
        <v>1991</v>
      </c>
    </row>
    <row r="51" spans="1:8" x14ac:dyDescent="0.2">
      <c r="A51" s="1" t="s">
        <v>1992</v>
      </c>
    </row>
    <row r="52" spans="1:8" x14ac:dyDescent="0.2">
      <c r="A52" s="1" t="s">
        <v>1993</v>
      </c>
    </row>
    <row r="54" spans="1:8" x14ac:dyDescent="0.2">
      <c r="A54" s="1" t="s">
        <v>660</v>
      </c>
      <c r="C54" s="258" t="s">
        <v>1996</v>
      </c>
      <c r="D54" s="258" t="s">
        <v>1995</v>
      </c>
      <c r="E54" s="258" t="s">
        <v>1994</v>
      </c>
      <c r="F54" s="1" t="s">
        <v>60</v>
      </c>
    </row>
    <row r="55" spans="1:8" x14ac:dyDescent="0.2">
      <c r="A55" s="1" t="s">
        <v>1997</v>
      </c>
      <c r="C55" s="20" t="s">
        <v>75</v>
      </c>
      <c r="D55" s="20" t="s">
        <v>75</v>
      </c>
      <c r="E55" s="20" t="s">
        <v>75</v>
      </c>
      <c r="F55" s="1" t="s">
        <v>111</v>
      </c>
    </row>
    <row r="56" spans="1:8" x14ac:dyDescent="0.2">
      <c r="A56" s="1" t="s">
        <v>1998</v>
      </c>
      <c r="C56" s="20">
        <f>8-2</f>
        <v>6</v>
      </c>
      <c r="D56" s="20">
        <f>20-8</f>
        <v>12</v>
      </c>
      <c r="E56" s="20">
        <f>20-2</f>
        <v>18</v>
      </c>
      <c r="F56" s="1" t="s">
        <v>62</v>
      </c>
    </row>
    <row r="57" spans="1:8" x14ac:dyDescent="0.2">
      <c r="A57" s="1" t="s">
        <v>1999</v>
      </c>
      <c r="C57" s="259">
        <f>RATE(C56,C59,C58,C60)</f>
        <v>-5.5895496321471689E-3</v>
      </c>
      <c r="D57" s="20">
        <v>12</v>
      </c>
      <c r="E57" s="20">
        <v>6</v>
      </c>
      <c r="F57" s="1" t="s">
        <v>63</v>
      </c>
    </row>
    <row r="58" spans="1:8" ht="27" customHeight="1" x14ac:dyDescent="0.2">
      <c r="C58" s="245">
        <f>E58</f>
        <v>-802.55156866938057</v>
      </c>
      <c r="D58" s="50">
        <f>PV(D57/100,D56,D59,D60)</f>
        <v>-509.75442379632926</v>
      </c>
      <c r="E58" s="50">
        <f>PV(E57/100,E56,E59,E60)</f>
        <v>-802.55156866938057</v>
      </c>
      <c r="F58" s="1" t="s">
        <v>64</v>
      </c>
    </row>
    <row r="59" spans="1:8" x14ac:dyDescent="0.2">
      <c r="C59" s="20">
        <f>D59</f>
        <v>45</v>
      </c>
      <c r="D59" s="20">
        <f>E59</f>
        <v>45</v>
      </c>
      <c r="E59" s="20">
        <f>5%*900</f>
        <v>45</v>
      </c>
      <c r="F59" s="1" t="s">
        <v>65</v>
      </c>
    </row>
    <row r="60" spans="1:8" x14ac:dyDescent="0.2">
      <c r="C60" s="30">
        <f>-D58</f>
        <v>509.75442379632926</v>
      </c>
      <c r="D60" s="20">
        <v>900</v>
      </c>
      <c r="E60" s="20">
        <v>900</v>
      </c>
      <c r="F60" s="1" t="s">
        <v>66</v>
      </c>
    </row>
    <row r="62" spans="1:8" x14ac:dyDescent="0.2">
      <c r="A62" s="6" t="s">
        <v>2000</v>
      </c>
      <c r="B62" s="6"/>
      <c r="C62" s="6"/>
      <c r="D62" s="6"/>
      <c r="E62" s="6"/>
      <c r="F62" s="6"/>
      <c r="G62" s="6"/>
      <c r="H62" s="6"/>
    </row>
    <row r="64" spans="1:8" x14ac:dyDescent="0.2">
      <c r="A64" s="1" t="s">
        <v>2001</v>
      </c>
    </row>
    <row r="65" spans="1:7" x14ac:dyDescent="0.2">
      <c r="A65" s="1" t="s">
        <v>2002</v>
      </c>
    </row>
    <row r="66" spans="1:7" x14ac:dyDescent="0.2">
      <c r="A66" s="1" t="s">
        <v>2003</v>
      </c>
    </row>
    <row r="67" spans="1:7" x14ac:dyDescent="0.2">
      <c r="A67" s="1" t="s">
        <v>2004</v>
      </c>
    </row>
    <row r="68" spans="1:7" x14ac:dyDescent="0.2">
      <c r="A68" s="1" t="s">
        <v>2005</v>
      </c>
    </row>
    <row r="71" spans="1:7" x14ac:dyDescent="0.2">
      <c r="D71" s="27" t="s">
        <v>2008</v>
      </c>
      <c r="E71" s="27" t="s">
        <v>2007</v>
      </c>
      <c r="F71" s="27" t="s">
        <v>2006</v>
      </c>
    </row>
    <row r="72" spans="1:7" x14ac:dyDescent="0.2">
      <c r="D72" s="20" t="s">
        <v>75</v>
      </c>
      <c r="E72" s="20" t="s">
        <v>75</v>
      </c>
      <c r="F72" s="20" t="s">
        <v>75</v>
      </c>
      <c r="G72" s="1" t="s">
        <v>111</v>
      </c>
    </row>
    <row r="73" spans="1:7" x14ac:dyDescent="0.2">
      <c r="D73" s="20">
        <f>20-5</f>
        <v>15</v>
      </c>
      <c r="E73" s="20">
        <f>20-2</f>
        <v>18</v>
      </c>
      <c r="F73" s="20">
        <v>20</v>
      </c>
      <c r="G73" s="1" t="s">
        <v>62</v>
      </c>
    </row>
    <row r="74" spans="1:7" x14ac:dyDescent="0.2">
      <c r="D74" s="20">
        <v>8</v>
      </c>
      <c r="E74" s="20">
        <v>14</v>
      </c>
      <c r="F74" s="20">
        <v>12</v>
      </c>
      <c r="G74" s="1" t="s">
        <v>63</v>
      </c>
    </row>
    <row r="75" spans="1:7" x14ac:dyDescent="0.2">
      <c r="D75" s="50">
        <f>PV(D74/100,D73,D76,D77)</f>
        <v>-542.79739343963183</v>
      </c>
      <c r="E75" s="50">
        <f>PV(E74/100,E73,E76,E77)</f>
        <v>-338.31448837799798</v>
      </c>
      <c r="F75" s="50">
        <f>PV(F74/100,F73,F76,F77)</f>
        <v>-387.958345635086</v>
      </c>
      <c r="G75" s="1" t="s">
        <v>64</v>
      </c>
    </row>
    <row r="76" spans="1:7" x14ac:dyDescent="0.2">
      <c r="D76" s="20">
        <f>E76</f>
        <v>45</v>
      </c>
      <c r="E76" s="20">
        <f>F76</f>
        <v>45</v>
      </c>
      <c r="F76" s="20">
        <f>9%*500</f>
        <v>45</v>
      </c>
      <c r="G76" s="1" t="s">
        <v>65</v>
      </c>
    </row>
    <row r="77" spans="1:7" x14ac:dyDescent="0.2">
      <c r="D77" s="20">
        <f>E77</f>
        <v>500</v>
      </c>
      <c r="E77" s="20">
        <v>500</v>
      </c>
      <c r="F77" s="20">
        <v>500</v>
      </c>
      <c r="G77" s="1" t="s">
        <v>66</v>
      </c>
    </row>
    <row r="80" spans="1:7" x14ac:dyDescent="0.2">
      <c r="D80" s="1" t="s">
        <v>469</v>
      </c>
      <c r="E80" s="1" t="s">
        <v>2009</v>
      </c>
    </row>
    <row r="81" spans="1:11" x14ac:dyDescent="0.2">
      <c r="D81" s="1" t="s">
        <v>2013</v>
      </c>
      <c r="E81" s="1" t="s">
        <v>2010</v>
      </c>
    </row>
    <row r="82" spans="1:11" x14ac:dyDescent="0.2">
      <c r="D82" s="1" t="s">
        <v>2014</v>
      </c>
      <c r="E82" s="1" t="s">
        <v>2011</v>
      </c>
    </row>
    <row r="83" spans="1:11" x14ac:dyDescent="0.2">
      <c r="D83" s="1" t="s">
        <v>2015</v>
      </c>
      <c r="E83" s="1" t="s">
        <v>2012</v>
      </c>
    </row>
    <row r="84" spans="1:11" x14ac:dyDescent="0.2">
      <c r="D84" s="1" t="s">
        <v>2016</v>
      </c>
    </row>
    <row r="85" spans="1:11" x14ac:dyDescent="0.2">
      <c r="D85" s="1" t="s">
        <v>2017</v>
      </c>
    </row>
    <row r="86" spans="1:11" x14ac:dyDescent="0.2">
      <c r="D86" s="1" t="s">
        <v>2018</v>
      </c>
    </row>
    <row r="87" spans="1:11" x14ac:dyDescent="0.2">
      <c r="D87" s="1" t="s">
        <v>2019</v>
      </c>
    </row>
    <row r="88" spans="1:11" x14ac:dyDescent="0.2">
      <c r="B88" s="1" t="s">
        <v>2020</v>
      </c>
      <c r="D88" s="32">
        <f>-D75</f>
        <v>542.79739343963183</v>
      </c>
    </row>
    <row r="89" spans="1:11" x14ac:dyDescent="0.2">
      <c r="B89" s="1" t="s">
        <v>2021</v>
      </c>
      <c r="D89" s="1">
        <f>D76</f>
        <v>45</v>
      </c>
    </row>
    <row r="90" spans="1:11" x14ac:dyDescent="0.2">
      <c r="B90" s="1" t="s">
        <v>2022</v>
      </c>
      <c r="D90" s="260">
        <f>D88+D89</f>
        <v>587.79739343963183</v>
      </c>
    </row>
    <row r="92" spans="1:11" x14ac:dyDescent="0.2">
      <c r="A92" s="1" t="s">
        <v>2023</v>
      </c>
    </row>
    <row r="94" spans="1:11" x14ac:dyDescent="0.2">
      <c r="D94" s="27" t="s">
        <v>2008</v>
      </c>
      <c r="J94" s="27" t="s">
        <v>2008</v>
      </c>
    </row>
    <row r="95" spans="1:11" x14ac:dyDescent="0.2">
      <c r="D95" s="20" t="s">
        <v>75</v>
      </c>
      <c r="E95" s="1" t="s">
        <v>111</v>
      </c>
      <c r="J95" s="20" t="s">
        <v>75</v>
      </c>
      <c r="K95" s="1" t="s">
        <v>111</v>
      </c>
    </row>
    <row r="96" spans="1:11" x14ac:dyDescent="0.2">
      <c r="A96" s="1" t="s">
        <v>2024</v>
      </c>
      <c r="D96" s="20">
        <v>16</v>
      </c>
      <c r="E96" s="1" t="s">
        <v>62</v>
      </c>
      <c r="J96" s="20">
        <v>16</v>
      </c>
      <c r="K96" s="1" t="s">
        <v>62</v>
      </c>
    </row>
    <row r="97" spans="1:11" x14ac:dyDescent="0.2">
      <c r="A97" s="1" t="s">
        <v>2025</v>
      </c>
      <c r="D97" s="20">
        <v>8</v>
      </c>
      <c r="E97" s="1" t="s">
        <v>63</v>
      </c>
      <c r="J97" s="20">
        <v>8</v>
      </c>
      <c r="K97" s="1" t="s">
        <v>63</v>
      </c>
    </row>
    <row r="98" spans="1:11" x14ac:dyDescent="0.2">
      <c r="A98" s="1" t="s">
        <v>2026</v>
      </c>
      <c r="D98" s="50">
        <f>PV(D97/100,D96,D99,D100)</f>
        <v>-544.25684577743687</v>
      </c>
      <c r="E98" s="1" t="s">
        <v>64</v>
      </c>
      <c r="H98" s="1" t="s">
        <v>2033</v>
      </c>
      <c r="J98" s="50">
        <f>PV(J97/100,J96,J99,J100)</f>
        <v>-544.25684577743687</v>
      </c>
      <c r="K98" s="1" t="s">
        <v>64</v>
      </c>
    </row>
    <row r="99" spans="1:11" x14ac:dyDescent="0.2">
      <c r="A99" s="1" t="s">
        <v>2027</v>
      </c>
      <c r="D99" s="20">
        <v>45</v>
      </c>
      <c r="E99" s="1" t="s">
        <v>65</v>
      </c>
      <c r="H99" s="1" t="s">
        <v>2034</v>
      </c>
      <c r="J99" s="20">
        <v>45</v>
      </c>
      <c r="K99" s="1" t="s">
        <v>65</v>
      </c>
    </row>
    <row r="100" spans="1:11" x14ac:dyDescent="0.2">
      <c r="D100" s="20">
        <v>500</v>
      </c>
      <c r="E100" s="1" t="s">
        <v>66</v>
      </c>
      <c r="H100" s="1" t="s">
        <v>2035</v>
      </c>
      <c r="J100" s="20">
        <v>500</v>
      </c>
      <c r="K100" s="1" t="s">
        <v>66</v>
      </c>
    </row>
    <row r="101" spans="1:11" x14ac:dyDescent="0.2">
      <c r="H101" s="1" t="s">
        <v>2036</v>
      </c>
    </row>
    <row r="102" spans="1:11" x14ac:dyDescent="0.2">
      <c r="A102" s="1" t="s">
        <v>2023</v>
      </c>
      <c r="H102" s="1" t="s">
        <v>2037</v>
      </c>
    </row>
    <row r="104" spans="1:11" x14ac:dyDescent="0.2">
      <c r="D104" s="27" t="s">
        <v>2008</v>
      </c>
      <c r="I104" s="1" t="s">
        <v>2028</v>
      </c>
    </row>
    <row r="105" spans="1:11" x14ac:dyDescent="0.2">
      <c r="D105" s="20" t="s">
        <v>152</v>
      </c>
      <c r="E105" s="1" t="s">
        <v>111</v>
      </c>
      <c r="I105" s="1" t="s">
        <v>2029</v>
      </c>
    </row>
    <row r="106" spans="1:11" x14ac:dyDescent="0.2">
      <c r="D106" s="20">
        <v>16</v>
      </c>
      <c r="E106" s="1" t="s">
        <v>62</v>
      </c>
      <c r="I106" s="1" t="s">
        <v>2030</v>
      </c>
    </row>
    <row r="107" spans="1:11" x14ac:dyDescent="0.2">
      <c r="D107" s="20">
        <v>8</v>
      </c>
      <c r="E107" s="1" t="s">
        <v>63</v>
      </c>
      <c r="I107" s="1" t="s">
        <v>2031</v>
      </c>
    </row>
    <row r="108" spans="1:11" x14ac:dyDescent="0.2">
      <c r="D108" s="50">
        <f>PV(D107/100,D106,D109,D110,1)</f>
        <v>-576.12177473719157</v>
      </c>
      <c r="E108" s="1" t="s">
        <v>64</v>
      </c>
      <c r="H108" s="260">
        <f>-J98*1.08</f>
        <v>587.79739343963183</v>
      </c>
      <c r="J108" s="1" t="s">
        <v>2032</v>
      </c>
    </row>
    <row r="109" spans="1:11" x14ac:dyDescent="0.2">
      <c r="D109" s="20">
        <v>45</v>
      </c>
      <c r="E109" s="1" t="s">
        <v>65</v>
      </c>
    </row>
    <row r="110" spans="1:11" x14ac:dyDescent="0.2">
      <c r="D110" s="20">
        <v>500</v>
      </c>
      <c r="E110" s="1" t="s">
        <v>66</v>
      </c>
    </row>
    <row r="112" spans="1:11" x14ac:dyDescent="0.2">
      <c r="A112" s="256" t="s">
        <v>2038</v>
      </c>
      <c r="B112" s="10"/>
      <c r="C112" s="10"/>
      <c r="D112" s="10"/>
      <c r="E112" s="10"/>
      <c r="F112" s="10"/>
      <c r="G112" s="10"/>
    </row>
    <row r="113" spans="1:4" x14ac:dyDescent="0.2">
      <c r="A113" s="1" t="s">
        <v>2039</v>
      </c>
    </row>
    <row r="114" spans="1:4" x14ac:dyDescent="0.2">
      <c r="A114" s="1" t="s">
        <v>2040</v>
      </c>
    </row>
    <row r="115" spans="1:4" x14ac:dyDescent="0.2">
      <c r="A115" s="1" t="s">
        <v>2041</v>
      </c>
    </row>
    <row r="116" spans="1:4" x14ac:dyDescent="0.2">
      <c r="D116" s="1" t="s">
        <v>2042</v>
      </c>
    </row>
    <row r="117" spans="1:4" x14ac:dyDescent="0.2">
      <c r="D117" s="1" t="s">
        <v>2043</v>
      </c>
    </row>
    <row r="118" spans="1:4" x14ac:dyDescent="0.2">
      <c r="D118" s="1" t="s">
        <v>2044</v>
      </c>
    </row>
    <row r="119" spans="1:4" x14ac:dyDescent="0.2">
      <c r="D119" s="1" t="s">
        <v>2045</v>
      </c>
    </row>
    <row r="121" spans="1:4" x14ac:dyDescent="0.2">
      <c r="A121" s="18" t="s">
        <v>2046</v>
      </c>
    </row>
    <row r="122" spans="1:4" x14ac:dyDescent="0.2">
      <c r="A122" s="1" t="s">
        <v>2047</v>
      </c>
    </row>
    <row r="123" spans="1:4" x14ac:dyDescent="0.2">
      <c r="A123" s="1" t="s">
        <v>2048</v>
      </c>
    </row>
    <row r="125" spans="1:4" x14ac:dyDescent="0.2">
      <c r="A125" s="1" t="s">
        <v>2049</v>
      </c>
    </row>
    <row r="127" spans="1:4" x14ac:dyDescent="0.2">
      <c r="A127" s="1" t="s">
        <v>2050</v>
      </c>
    </row>
    <row r="128" spans="1:4" x14ac:dyDescent="0.2">
      <c r="B128" s="1" t="s">
        <v>2051</v>
      </c>
    </row>
    <row r="130" spans="1:11" x14ac:dyDescent="0.2">
      <c r="A130" s="1" t="s">
        <v>2052</v>
      </c>
    </row>
    <row r="141" spans="1:11" x14ac:dyDescent="0.2">
      <c r="A141" s="263" t="s">
        <v>2053</v>
      </c>
      <c r="B141" s="100" t="s">
        <v>2061</v>
      </c>
      <c r="C141" s="100"/>
      <c r="D141" s="100"/>
      <c r="E141" s="100"/>
      <c r="F141" s="100"/>
      <c r="G141" s="100"/>
      <c r="H141" s="100"/>
    </row>
    <row r="143" spans="1:11" x14ac:dyDescent="0.2">
      <c r="A143" s="261" t="s">
        <v>1955</v>
      </c>
      <c r="B143" s="261"/>
      <c r="C143" s="261"/>
      <c r="D143" s="261"/>
      <c r="E143" s="261"/>
      <c r="F143" s="261"/>
      <c r="G143" s="262"/>
      <c r="H143" s="262"/>
      <c r="I143" s="262"/>
      <c r="J143" s="262"/>
      <c r="K143" s="262"/>
    </row>
    <row r="144" spans="1:11" x14ac:dyDescent="0.2">
      <c r="A144" s="261" t="s">
        <v>1956</v>
      </c>
      <c r="B144" s="261"/>
      <c r="C144" s="261"/>
      <c r="D144" s="261"/>
      <c r="E144" s="261"/>
      <c r="F144" s="261"/>
      <c r="G144" s="261"/>
      <c r="H144" s="262"/>
      <c r="I144" s="262"/>
      <c r="J144" s="262"/>
      <c r="K144" s="262"/>
    </row>
    <row r="145" spans="1:11" x14ac:dyDescent="0.2">
      <c r="A145" s="261" t="s">
        <v>1957</v>
      </c>
      <c r="B145" s="261"/>
      <c r="C145" s="261"/>
      <c r="D145" s="261"/>
      <c r="E145" s="262"/>
      <c r="F145" s="262"/>
      <c r="G145" s="262"/>
      <c r="H145" s="262"/>
      <c r="I145" s="262"/>
      <c r="J145" s="262"/>
      <c r="K145" s="262"/>
    </row>
    <row r="146" spans="1:11" x14ac:dyDescent="0.2">
      <c r="A146" s="261" t="s">
        <v>1958</v>
      </c>
      <c r="B146" s="261"/>
      <c r="C146" s="261"/>
      <c r="D146" s="261"/>
      <c r="E146" s="261"/>
      <c r="F146" s="262"/>
      <c r="G146" s="262"/>
      <c r="H146" s="262"/>
      <c r="I146" s="262"/>
      <c r="J146" s="262"/>
      <c r="K146" s="262"/>
    </row>
    <row r="147" spans="1:11" x14ac:dyDescent="0.2">
      <c r="A147" s="261" t="s">
        <v>1959</v>
      </c>
      <c r="B147" s="261"/>
      <c r="C147" s="261"/>
      <c r="D147" s="261"/>
      <c r="E147" s="261"/>
      <c r="F147" s="261"/>
      <c r="G147" s="262"/>
      <c r="H147" s="262"/>
      <c r="I147" s="262"/>
      <c r="J147" s="262"/>
      <c r="K147" s="262"/>
    </row>
    <row r="148" spans="1:11" x14ac:dyDescent="0.2">
      <c r="A148" s="261" t="s">
        <v>1960</v>
      </c>
      <c r="B148" s="261"/>
      <c r="C148" s="261"/>
      <c r="D148" s="261"/>
      <c r="E148" s="261"/>
      <c r="F148" s="261"/>
      <c r="G148" s="262"/>
      <c r="H148" s="262"/>
      <c r="I148" s="262"/>
      <c r="J148" s="262"/>
      <c r="K148" s="262"/>
    </row>
    <row r="150" spans="1:11" x14ac:dyDescent="0.2">
      <c r="A150" s="1" t="s">
        <v>2054</v>
      </c>
    </row>
    <row r="151" spans="1:11" x14ac:dyDescent="0.2">
      <c r="A151" s="1" t="s">
        <v>2055</v>
      </c>
    </row>
    <row r="156" spans="1:11" x14ac:dyDescent="0.2">
      <c r="B156" s="1" t="s">
        <v>2056</v>
      </c>
    </row>
    <row r="159" spans="1:11" x14ac:dyDescent="0.2">
      <c r="A159" s="1" t="s">
        <v>2057</v>
      </c>
    </row>
    <row r="163" spans="1:1" x14ac:dyDescent="0.2">
      <c r="A163" s="1" t="s">
        <v>2058</v>
      </c>
    </row>
    <row r="167" spans="1:1" x14ac:dyDescent="0.2">
      <c r="A167" s="1" t="s">
        <v>2059</v>
      </c>
    </row>
    <row r="171" spans="1:1" x14ac:dyDescent="0.2">
      <c r="A171" s="1" t="s">
        <v>2060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A02993-0F95-D54E-8E1B-64D2591B2B02}">
  <dimension ref="A1:M395"/>
  <sheetViews>
    <sheetView rightToLeft="1" topLeftCell="A296" zoomScale="221" zoomScaleNormal="200" workbookViewId="0">
      <selection activeCell="H263" sqref="H263"/>
    </sheetView>
  </sheetViews>
  <sheetFormatPr baseColWidth="10" defaultRowHeight="16" x14ac:dyDescent="0.2"/>
  <cols>
    <col min="1" max="5" width="10.83203125" style="1"/>
    <col min="6" max="6" width="17.6640625" style="1" bestFit="1" customWidth="1"/>
    <col min="7" max="16384" width="10.83203125" style="1"/>
  </cols>
  <sheetData>
    <row r="1" spans="1:8" x14ac:dyDescent="0.2">
      <c r="A1" s="6" t="s">
        <v>2062</v>
      </c>
      <c r="B1" s="5"/>
      <c r="C1" s="5"/>
      <c r="D1" s="5"/>
      <c r="E1" s="5"/>
      <c r="F1" s="5"/>
      <c r="G1" s="5"/>
      <c r="H1" s="246">
        <v>45904</v>
      </c>
    </row>
    <row r="3" spans="1:8" x14ac:dyDescent="0.2">
      <c r="A3" s="79" t="s">
        <v>548</v>
      </c>
      <c r="B3" s="79"/>
      <c r="C3" s="79"/>
      <c r="D3" s="79"/>
      <c r="E3" s="79"/>
      <c r="F3" s="79"/>
      <c r="G3" s="79"/>
      <c r="H3" s="79"/>
    </row>
    <row r="4" spans="1:8" x14ac:dyDescent="0.2">
      <c r="A4" s="1" t="s">
        <v>675</v>
      </c>
    </row>
    <row r="5" spans="1:8" x14ac:dyDescent="0.2">
      <c r="A5" s="1" t="s">
        <v>676</v>
      </c>
    </row>
    <row r="6" spans="1:8" x14ac:dyDescent="0.2">
      <c r="A6" s="1" t="s">
        <v>677</v>
      </c>
    </row>
    <row r="7" spans="1:8" x14ac:dyDescent="0.2">
      <c r="A7" s="1" t="s">
        <v>678</v>
      </c>
    </row>
    <row r="8" spans="1:8" x14ac:dyDescent="0.2">
      <c r="A8" s="1" t="s">
        <v>679</v>
      </c>
    </row>
    <row r="9" spans="1:8" x14ac:dyDescent="0.2">
      <c r="A9" s="1" t="s">
        <v>680</v>
      </c>
    </row>
    <row r="11" spans="1:8" x14ac:dyDescent="0.2">
      <c r="A11" s="79" t="s">
        <v>681</v>
      </c>
      <c r="B11" s="79"/>
      <c r="C11" s="79"/>
      <c r="D11" s="79"/>
      <c r="E11" s="79"/>
      <c r="F11" s="79"/>
      <c r="G11" s="79"/>
      <c r="H11" s="79"/>
    </row>
    <row r="12" spans="1:8" x14ac:dyDescent="0.2">
      <c r="A12" s="1" t="s">
        <v>682</v>
      </c>
    </row>
    <row r="13" spans="1:8" x14ac:dyDescent="0.2">
      <c r="A13" s="1" t="s">
        <v>683</v>
      </c>
    </row>
    <row r="14" spans="1:8" x14ac:dyDescent="0.2">
      <c r="A14" s="1" t="s">
        <v>684</v>
      </c>
    </row>
    <row r="15" spans="1:8" x14ac:dyDescent="0.2">
      <c r="A15" s="1" t="s">
        <v>685</v>
      </c>
    </row>
    <row r="17" spans="1:10" x14ac:dyDescent="0.2">
      <c r="A17" s="2" t="s">
        <v>686</v>
      </c>
      <c r="B17" s="2"/>
      <c r="C17" s="2"/>
      <c r="D17" s="2"/>
      <c r="E17" s="2"/>
      <c r="F17" s="2"/>
      <c r="G17" s="2"/>
      <c r="H17" s="2">
        <v>4.0999999999999996</v>
      </c>
    </row>
    <row r="19" spans="1:10" x14ac:dyDescent="0.2">
      <c r="A19" s="1" t="s">
        <v>687</v>
      </c>
    </row>
    <row r="20" spans="1:10" ht="17" thickBot="1" x14ac:dyDescent="0.25">
      <c r="A20" s="1" t="s">
        <v>688</v>
      </c>
    </row>
    <row r="21" spans="1:10" x14ac:dyDescent="0.2">
      <c r="A21" s="1" t="s">
        <v>689</v>
      </c>
      <c r="E21" s="12" t="s">
        <v>3249</v>
      </c>
      <c r="F21" s="13"/>
      <c r="G21" s="13"/>
      <c r="H21" s="14"/>
    </row>
    <row r="22" spans="1:10" x14ac:dyDescent="0.2">
      <c r="E22" s="72" t="s">
        <v>3250</v>
      </c>
      <c r="F22" s="499"/>
      <c r="G22" s="499"/>
      <c r="H22" s="73"/>
    </row>
    <row r="23" spans="1:10" x14ac:dyDescent="0.2">
      <c r="E23" s="72" t="s">
        <v>3252</v>
      </c>
      <c r="F23" s="499"/>
      <c r="G23" s="499"/>
      <c r="H23" s="73"/>
    </row>
    <row r="24" spans="1:10" ht="17" thickBot="1" x14ac:dyDescent="0.25">
      <c r="E24" s="15" t="s">
        <v>3251</v>
      </c>
      <c r="F24" s="16"/>
      <c r="G24" s="16"/>
      <c r="H24" s="17"/>
    </row>
    <row r="25" spans="1:10" x14ac:dyDescent="0.2">
      <c r="A25" s="1" t="s">
        <v>568</v>
      </c>
    </row>
    <row r="26" spans="1:10" x14ac:dyDescent="0.2">
      <c r="A26" s="1" t="s">
        <v>690</v>
      </c>
    </row>
    <row r="27" spans="1:10" x14ac:dyDescent="0.2">
      <c r="A27" s="1" t="s">
        <v>691</v>
      </c>
    </row>
    <row r="28" spans="1:10" x14ac:dyDescent="0.2">
      <c r="A28" s="1" t="s">
        <v>698</v>
      </c>
    </row>
    <row r="29" spans="1:10" x14ac:dyDescent="0.2">
      <c r="A29" s="18" t="s">
        <v>146</v>
      </c>
    </row>
    <row r="30" spans="1:10" ht="17" thickBot="1" x14ac:dyDescent="0.25"/>
    <row r="31" spans="1:10" ht="17" thickBot="1" x14ac:dyDescent="0.25">
      <c r="A31" s="18" t="s">
        <v>692</v>
      </c>
      <c r="I31" s="82" t="s">
        <v>776</v>
      </c>
      <c r="J31" s="84"/>
    </row>
    <row r="32" spans="1:10" x14ac:dyDescent="0.2">
      <c r="A32" s="1" t="s">
        <v>2063</v>
      </c>
      <c r="I32" s="6"/>
      <c r="J32" s="5"/>
    </row>
    <row r="33" spans="1:10" x14ac:dyDescent="0.2">
      <c r="A33" s="1" t="s">
        <v>2064</v>
      </c>
      <c r="I33" s="6"/>
      <c r="J33" s="5"/>
    </row>
    <row r="34" spans="1:10" x14ac:dyDescent="0.2">
      <c r="I34" s="6"/>
      <c r="J34" s="5"/>
    </row>
    <row r="35" spans="1:10" x14ac:dyDescent="0.2">
      <c r="A35" s="1" t="s">
        <v>2065</v>
      </c>
    </row>
    <row r="36" spans="1:10" x14ac:dyDescent="0.2">
      <c r="A36" s="1" t="s">
        <v>2066</v>
      </c>
    </row>
    <row r="38" spans="1:10" x14ac:dyDescent="0.2">
      <c r="A38" s="18" t="s">
        <v>3253</v>
      </c>
      <c r="B38" s="18"/>
      <c r="C38" s="18"/>
      <c r="D38" s="18"/>
      <c r="E38" s="18"/>
      <c r="F38" s="18"/>
      <c r="G38" s="18"/>
      <c r="H38" s="18"/>
    </row>
    <row r="39" spans="1:10" x14ac:dyDescent="0.2">
      <c r="A39" s="18" t="s">
        <v>3254</v>
      </c>
      <c r="B39" s="18"/>
      <c r="C39" s="18"/>
      <c r="D39" s="18"/>
      <c r="E39" s="18"/>
      <c r="F39" s="18"/>
      <c r="G39" s="18"/>
      <c r="H39" s="18"/>
    </row>
    <row r="41" spans="1:10" x14ac:dyDescent="0.2">
      <c r="E41" s="20" t="s">
        <v>75</v>
      </c>
      <c r="F41" s="1" t="s">
        <v>694</v>
      </c>
    </row>
    <row r="42" spans="1:10" x14ac:dyDescent="0.2">
      <c r="A42" s="1" t="s">
        <v>3256</v>
      </c>
      <c r="E42" s="20">
        <v>3</v>
      </c>
      <c r="F42" s="1" t="s">
        <v>63</v>
      </c>
      <c r="G42" s="321" t="s">
        <v>3255</v>
      </c>
    </row>
    <row r="43" spans="1:10" x14ac:dyDescent="0.2">
      <c r="A43" s="1" t="s">
        <v>774</v>
      </c>
      <c r="E43" s="20">
        <v>8</v>
      </c>
      <c r="F43" s="1" t="s">
        <v>695</v>
      </c>
      <c r="G43" s="321" t="s">
        <v>3257</v>
      </c>
    </row>
    <row r="44" spans="1:10" x14ac:dyDescent="0.2">
      <c r="A44" s="18" t="s">
        <v>2067</v>
      </c>
      <c r="B44" s="18"/>
      <c r="C44" s="18"/>
      <c r="D44" s="18"/>
      <c r="E44" s="80">
        <f>PV(E42/100,E43,E45,E46)</f>
        <v>-114.03938437907095</v>
      </c>
      <c r="F44" s="18" t="s">
        <v>64</v>
      </c>
      <c r="G44" s="321" t="s">
        <v>693</v>
      </c>
    </row>
    <row r="45" spans="1:10" x14ac:dyDescent="0.2">
      <c r="A45" s="1" t="s">
        <v>775</v>
      </c>
      <c r="E45" s="20">
        <f>5%*100</f>
        <v>5</v>
      </c>
      <c r="F45" s="1" t="s">
        <v>65</v>
      </c>
      <c r="G45" s="321" t="s">
        <v>3258</v>
      </c>
    </row>
    <row r="46" spans="1:10" x14ac:dyDescent="0.2">
      <c r="A46" s="1" t="s">
        <v>656</v>
      </c>
      <c r="E46" s="20">
        <v>100</v>
      </c>
      <c r="F46" s="1" t="s">
        <v>66</v>
      </c>
      <c r="G46" s="321" t="s">
        <v>3259</v>
      </c>
    </row>
    <row r="48" spans="1:10" x14ac:dyDescent="0.2">
      <c r="A48" s="1" t="s">
        <v>710</v>
      </c>
    </row>
    <row r="50" spans="1:10" x14ac:dyDescent="0.2">
      <c r="A50" s="1" t="s">
        <v>3260</v>
      </c>
    </row>
    <row r="51" spans="1:10" x14ac:dyDescent="0.2">
      <c r="A51" s="1" t="s">
        <v>3261</v>
      </c>
    </row>
    <row r="53" spans="1:10" x14ac:dyDescent="0.2">
      <c r="A53" s="1" t="s">
        <v>3262</v>
      </c>
    </row>
    <row r="54" spans="1:10" x14ac:dyDescent="0.2">
      <c r="A54" s="1" t="s">
        <v>3263</v>
      </c>
    </row>
    <row r="57" spans="1:10" ht="17" thickBot="1" x14ac:dyDescent="0.25"/>
    <row r="58" spans="1:10" ht="17" thickBot="1" x14ac:dyDescent="0.25">
      <c r="A58" s="18" t="s">
        <v>696</v>
      </c>
      <c r="I58" s="82" t="s">
        <v>802</v>
      </c>
      <c r="J58" s="83"/>
    </row>
    <row r="59" spans="1:10" x14ac:dyDescent="0.2">
      <c r="A59" s="81" t="s">
        <v>777</v>
      </c>
    </row>
    <row r="60" spans="1:10" x14ac:dyDescent="0.2">
      <c r="A60" s="265" t="s">
        <v>698</v>
      </c>
      <c r="B60" s="52"/>
      <c r="C60" s="52"/>
    </row>
    <row r="61" spans="1:10" x14ac:dyDescent="0.2">
      <c r="A61" s="81" t="s">
        <v>778</v>
      </c>
    </row>
    <row r="62" spans="1:10" x14ac:dyDescent="0.2">
      <c r="A62" s="18"/>
    </row>
    <row r="63" spans="1:10" x14ac:dyDescent="0.2">
      <c r="A63" s="18" t="s">
        <v>3264</v>
      </c>
    </row>
    <row r="64" spans="1:10" x14ac:dyDescent="0.2">
      <c r="A64" s="18" t="s">
        <v>3265</v>
      </c>
    </row>
    <row r="65" spans="1:2" x14ac:dyDescent="0.2">
      <c r="A65" s="18" t="s">
        <v>3266</v>
      </c>
    </row>
    <row r="66" spans="1:2" x14ac:dyDescent="0.2">
      <c r="A66" s="18"/>
    </row>
    <row r="67" spans="1:2" x14ac:dyDescent="0.2">
      <c r="A67" s="18" t="s">
        <v>3267</v>
      </c>
    </row>
    <row r="68" spans="1:2" x14ac:dyDescent="0.2">
      <c r="A68" s="18" t="s">
        <v>3268</v>
      </c>
    </row>
    <row r="69" spans="1:2" x14ac:dyDescent="0.2">
      <c r="A69" s="18" t="s">
        <v>3269</v>
      </c>
    </row>
    <row r="70" spans="1:2" x14ac:dyDescent="0.2">
      <c r="A70" s="18"/>
      <c r="B70" s="1" t="s">
        <v>3270</v>
      </c>
    </row>
    <row r="71" spans="1:2" x14ac:dyDescent="0.2">
      <c r="A71" s="18"/>
      <c r="B71" s="1" t="s">
        <v>3271</v>
      </c>
    </row>
    <row r="72" spans="1:2" x14ac:dyDescent="0.2">
      <c r="A72" s="18"/>
    </row>
    <row r="73" spans="1:2" x14ac:dyDescent="0.2">
      <c r="A73" s="18"/>
    </row>
    <row r="74" spans="1:2" x14ac:dyDescent="0.2">
      <c r="A74" s="18" t="s">
        <v>3273</v>
      </c>
    </row>
    <row r="75" spans="1:2" x14ac:dyDescent="0.2">
      <c r="A75" s="18"/>
      <c r="B75" s="18" t="s">
        <v>3272</v>
      </c>
    </row>
    <row r="76" spans="1:2" x14ac:dyDescent="0.2">
      <c r="A76" s="18"/>
      <c r="B76" s="18"/>
    </row>
    <row r="77" spans="1:2" x14ac:dyDescent="0.2">
      <c r="A77" s="1" t="s">
        <v>3274</v>
      </c>
    </row>
    <row r="78" spans="1:2" x14ac:dyDescent="0.2">
      <c r="A78" s="1" t="s">
        <v>3275</v>
      </c>
    </row>
    <row r="80" spans="1:2" x14ac:dyDescent="0.2">
      <c r="A80" s="1" t="s">
        <v>793</v>
      </c>
    </row>
    <row r="81" spans="1:9" x14ac:dyDescent="0.2">
      <c r="A81" s="1" t="s">
        <v>697</v>
      </c>
    </row>
    <row r="82" spans="1:9" x14ac:dyDescent="0.2">
      <c r="E82" s="20" t="s">
        <v>75</v>
      </c>
      <c r="F82" s="1" t="s">
        <v>694</v>
      </c>
      <c r="I82" s="1" t="s">
        <v>782</v>
      </c>
    </row>
    <row r="83" spans="1:9" s="116" customFormat="1" x14ac:dyDescent="0.2">
      <c r="A83" s="116" t="s">
        <v>2068</v>
      </c>
      <c r="E83" s="48">
        <v>3</v>
      </c>
      <c r="F83" s="116" t="s">
        <v>63</v>
      </c>
      <c r="I83" s="116" t="s">
        <v>783</v>
      </c>
    </row>
    <row r="84" spans="1:9" x14ac:dyDescent="0.2">
      <c r="A84" s="1" t="s">
        <v>779</v>
      </c>
      <c r="E84" s="48">
        <f>8-1</f>
        <v>7</v>
      </c>
      <c r="F84" s="1" t="s">
        <v>695</v>
      </c>
      <c r="I84" s="1" t="s">
        <v>784</v>
      </c>
    </row>
    <row r="85" spans="1:9" x14ac:dyDescent="0.2">
      <c r="A85" s="18" t="s">
        <v>792</v>
      </c>
      <c r="E85" s="264">
        <f>PV(E83/100,E84,E86,E87)</f>
        <v>-112.46056591044308</v>
      </c>
      <c r="F85" s="1" t="s">
        <v>64</v>
      </c>
      <c r="G85" s="1" t="s">
        <v>693</v>
      </c>
      <c r="I85" s="1" t="s">
        <v>785</v>
      </c>
    </row>
    <row r="86" spans="1:9" x14ac:dyDescent="0.2">
      <c r="A86" s="1" t="s">
        <v>780</v>
      </c>
      <c r="E86" s="48">
        <v>5</v>
      </c>
      <c r="F86" s="1" t="s">
        <v>65</v>
      </c>
      <c r="G86" s="1" t="s">
        <v>781</v>
      </c>
      <c r="I86" s="1" t="s">
        <v>786</v>
      </c>
    </row>
    <row r="87" spans="1:9" x14ac:dyDescent="0.2">
      <c r="A87" s="1" t="s">
        <v>656</v>
      </c>
      <c r="E87" s="48">
        <v>100</v>
      </c>
      <c r="F87" s="1" t="s">
        <v>66</v>
      </c>
      <c r="G87" s="1" t="s">
        <v>781</v>
      </c>
      <c r="I87" s="1" t="s">
        <v>787</v>
      </c>
    </row>
    <row r="89" spans="1:9" x14ac:dyDescent="0.2">
      <c r="A89" s="1" t="s">
        <v>710</v>
      </c>
      <c r="I89" s="1" t="s">
        <v>788</v>
      </c>
    </row>
    <row r="90" spans="1:9" x14ac:dyDescent="0.2">
      <c r="I90" s="1" t="s">
        <v>789</v>
      </c>
    </row>
    <row r="91" spans="1:9" x14ac:dyDescent="0.2">
      <c r="I91" s="1" t="s">
        <v>790</v>
      </c>
    </row>
    <row r="92" spans="1:9" x14ac:dyDescent="0.2">
      <c r="I92" s="1" t="s">
        <v>791</v>
      </c>
    </row>
    <row r="97" spans="1:6" x14ac:dyDescent="0.2">
      <c r="A97" s="1" t="s">
        <v>794</v>
      </c>
    </row>
    <row r="103" spans="1:6" x14ac:dyDescent="0.2">
      <c r="C103" s="1" t="s">
        <v>795</v>
      </c>
      <c r="E103" s="1" t="s">
        <v>702</v>
      </c>
      <c r="F103" s="1" t="s">
        <v>699</v>
      </c>
    </row>
    <row r="104" spans="1:6" x14ac:dyDescent="0.2">
      <c r="C104" s="1" t="s">
        <v>709</v>
      </c>
      <c r="E104" s="1" t="s">
        <v>703</v>
      </c>
      <c r="F104" s="1" t="s">
        <v>700</v>
      </c>
    </row>
    <row r="105" spans="1:6" x14ac:dyDescent="0.2">
      <c r="C105" s="1" t="s">
        <v>796</v>
      </c>
      <c r="E105" s="1" t="s">
        <v>704</v>
      </c>
      <c r="F105" s="1" t="s">
        <v>701</v>
      </c>
    </row>
    <row r="106" spans="1:6" x14ac:dyDescent="0.2">
      <c r="C106" s="1" t="s">
        <v>797</v>
      </c>
      <c r="E106" s="1" t="s">
        <v>705</v>
      </c>
    </row>
    <row r="107" spans="1:6" x14ac:dyDescent="0.2">
      <c r="C107" s="1" t="s">
        <v>798</v>
      </c>
      <c r="E107" s="1" t="s">
        <v>706</v>
      </c>
    </row>
    <row r="108" spans="1:6" x14ac:dyDescent="0.2">
      <c r="E108" s="1" t="s">
        <v>707</v>
      </c>
    </row>
    <row r="109" spans="1:6" x14ac:dyDescent="0.2">
      <c r="E109" s="1" t="s">
        <v>708</v>
      </c>
    </row>
    <row r="111" spans="1:6" x14ac:dyDescent="0.2">
      <c r="A111" s="1" t="s">
        <v>799</v>
      </c>
      <c r="C111" s="471">
        <f>112.46*1.02</f>
        <v>114.7092</v>
      </c>
    </row>
    <row r="112" spans="1:6" x14ac:dyDescent="0.2">
      <c r="A112" s="1" t="s">
        <v>800</v>
      </c>
      <c r="C112" s="471"/>
    </row>
    <row r="113" spans="1:8" x14ac:dyDescent="0.2">
      <c r="A113" s="1" t="s">
        <v>801</v>
      </c>
    </row>
    <row r="115" spans="1:8" ht="17" thickBot="1" x14ac:dyDescent="0.25"/>
    <row r="116" spans="1:8" x14ac:dyDescent="0.2">
      <c r="A116" s="12" t="s">
        <v>3276</v>
      </c>
      <c r="B116" s="13"/>
      <c r="C116" s="13"/>
      <c r="D116" s="13"/>
      <c r="E116" s="13"/>
      <c r="F116" s="13"/>
      <c r="G116" s="13"/>
      <c r="H116" s="14"/>
    </row>
    <row r="117" spans="1:8" ht="17" thickBot="1" x14ac:dyDescent="0.25">
      <c r="A117" s="15" t="s">
        <v>3277</v>
      </c>
      <c r="B117" s="16"/>
      <c r="C117" s="16"/>
      <c r="D117" s="16"/>
      <c r="E117" s="16"/>
      <c r="F117" s="16"/>
      <c r="G117" s="16"/>
      <c r="H117" s="17"/>
    </row>
    <row r="121" spans="1:8" x14ac:dyDescent="0.2">
      <c r="A121" s="2" t="s">
        <v>729</v>
      </c>
      <c r="B121" s="2"/>
      <c r="C121" s="2"/>
      <c r="D121" s="2"/>
      <c r="E121" s="2"/>
      <c r="F121" s="2"/>
      <c r="G121" s="2"/>
      <c r="H121" s="2">
        <v>4.4000000000000004</v>
      </c>
    </row>
    <row r="123" spans="1:8" x14ac:dyDescent="0.2">
      <c r="A123" s="1" t="s">
        <v>730</v>
      </c>
    </row>
    <row r="124" spans="1:8" x14ac:dyDescent="0.2">
      <c r="A124" s="1" t="s">
        <v>731</v>
      </c>
    </row>
    <row r="125" spans="1:8" x14ac:dyDescent="0.2">
      <c r="A125" s="1" t="s">
        <v>732</v>
      </c>
    </row>
    <row r="126" spans="1:8" x14ac:dyDescent="0.2">
      <c r="A126" s="1" t="s">
        <v>733</v>
      </c>
    </row>
    <row r="128" spans="1:8" x14ac:dyDescent="0.2">
      <c r="A128" s="1" t="s">
        <v>568</v>
      </c>
    </row>
    <row r="129" spans="1:12" x14ac:dyDescent="0.2">
      <c r="A129" s="1" t="s">
        <v>741</v>
      </c>
    </row>
    <row r="130" spans="1:12" x14ac:dyDescent="0.2">
      <c r="A130" s="1" t="s">
        <v>734</v>
      </c>
    </row>
    <row r="131" spans="1:12" x14ac:dyDescent="0.2">
      <c r="A131" s="1" t="s">
        <v>735</v>
      </c>
    </row>
    <row r="132" spans="1:12" x14ac:dyDescent="0.2">
      <c r="A132" s="1" t="s">
        <v>736</v>
      </c>
    </row>
    <row r="133" spans="1:12" x14ac:dyDescent="0.2">
      <c r="A133" s="1" t="s">
        <v>737</v>
      </c>
    </row>
    <row r="135" spans="1:12" x14ac:dyDescent="0.2">
      <c r="A135" s="18" t="s">
        <v>146</v>
      </c>
    </row>
    <row r="137" spans="1:12" x14ac:dyDescent="0.2">
      <c r="A137" s="18" t="s">
        <v>3278</v>
      </c>
      <c r="G137" s="1" t="s">
        <v>3279</v>
      </c>
    </row>
    <row r="138" spans="1:12" x14ac:dyDescent="0.2">
      <c r="A138" s="1" t="s">
        <v>738</v>
      </c>
      <c r="G138" s="1" t="s">
        <v>3280</v>
      </c>
    </row>
    <row r="139" spans="1:12" x14ac:dyDescent="0.2">
      <c r="G139" s="1" t="s">
        <v>3281</v>
      </c>
    </row>
    <row r="140" spans="1:12" x14ac:dyDescent="0.2">
      <c r="A140" s="128" t="s">
        <v>739</v>
      </c>
      <c r="B140" s="128">
        <v>0</v>
      </c>
      <c r="C140" s="128">
        <v>1</v>
      </c>
      <c r="D140" s="128">
        <v>2</v>
      </c>
      <c r="E140" s="128">
        <v>3</v>
      </c>
      <c r="F140" s="128">
        <v>4</v>
      </c>
      <c r="G140" s="128">
        <v>5</v>
      </c>
      <c r="H140" s="128">
        <v>6</v>
      </c>
      <c r="I140" s="128">
        <v>7</v>
      </c>
      <c r="J140" s="128">
        <v>8</v>
      </c>
      <c r="K140" s="128">
        <v>9</v>
      </c>
      <c r="L140" s="128">
        <v>10</v>
      </c>
    </row>
    <row r="141" spans="1:12" x14ac:dyDescent="0.2">
      <c r="A141" s="128" t="s">
        <v>740</v>
      </c>
      <c r="B141" s="128"/>
      <c r="C141" s="128">
        <f t="shared" ref="C141:K141" si="0">7%*100</f>
        <v>7.0000000000000009</v>
      </c>
      <c r="D141" s="128">
        <f t="shared" si="0"/>
        <v>7.0000000000000009</v>
      </c>
      <c r="E141" s="128">
        <f t="shared" si="0"/>
        <v>7.0000000000000009</v>
      </c>
      <c r="F141" s="128">
        <f t="shared" si="0"/>
        <v>7.0000000000000009</v>
      </c>
      <c r="G141" s="128">
        <f t="shared" si="0"/>
        <v>7.0000000000000009</v>
      </c>
      <c r="H141" s="128">
        <f t="shared" si="0"/>
        <v>7.0000000000000009</v>
      </c>
      <c r="I141" s="128">
        <f t="shared" si="0"/>
        <v>7.0000000000000009</v>
      </c>
      <c r="J141" s="128">
        <f t="shared" si="0"/>
        <v>7.0000000000000009</v>
      </c>
      <c r="K141" s="128">
        <f t="shared" si="0"/>
        <v>7.0000000000000009</v>
      </c>
      <c r="L141" s="128">
        <v>107</v>
      </c>
    </row>
    <row r="142" spans="1:12" x14ac:dyDescent="0.2">
      <c r="L142" s="1" t="s">
        <v>3282</v>
      </c>
    </row>
    <row r="143" spans="1:12" x14ac:dyDescent="0.2">
      <c r="A143" s="18" t="s">
        <v>3285</v>
      </c>
      <c r="L143" s="1" t="s">
        <v>3283</v>
      </c>
    </row>
    <row r="144" spans="1:12" x14ac:dyDescent="0.2">
      <c r="A144" s="18" t="s">
        <v>3286</v>
      </c>
    </row>
    <row r="145" spans="1:12" x14ac:dyDescent="0.2">
      <c r="A145" s="18"/>
    </row>
    <row r="146" spans="1:12" x14ac:dyDescent="0.2">
      <c r="A146" s="18"/>
      <c r="B146" s="11" t="s">
        <v>29</v>
      </c>
      <c r="C146" s="128">
        <v>1</v>
      </c>
      <c r="D146" s="128">
        <v>2</v>
      </c>
      <c r="E146" s="128">
        <v>3</v>
      </c>
    </row>
    <row r="147" spans="1:12" x14ac:dyDescent="0.2">
      <c r="A147" s="18"/>
      <c r="B147" s="11" t="s">
        <v>845</v>
      </c>
      <c r="C147" s="500">
        <v>0.14000000000000001</v>
      </c>
      <c r="D147" s="500">
        <v>0.12</v>
      </c>
      <c r="E147" s="500">
        <v>0.12</v>
      </c>
    </row>
    <row r="148" spans="1:12" x14ac:dyDescent="0.2">
      <c r="A148" s="18"/>
      <c r="B148" s="499"/>
      <c r="C148" s="501"/>
      <c r="D148" s="501"/>
      <c r="E148" s="501"/>
    </row>
    <row r="149" spans="1:12" x14ac:dyDescent="0.2">
      <c r="A149" s="18"/>
      <c r="B149" s="499"/>
      <c r="C149" s="502" t="s">
        <v>3287</v>
      </c>
      <c r="D149" s="501"/>
      <c r="E149" s="501"/>
    </row>
    <row r="150" spans="1:12" x14ac:dyDescent="0.2">
      <c r="A150" s="18"/>
      <c r="B150" s="499"/>
      <c r="C150" s="501"/>
      <c r="D150" s="501"/>
      <c r="E150" s="501"/>
    </row>
    <row r="151" spans="1:12" x14ac:dyDescent="0.2">
      <c r="A151" s="1" t="s">
        <v>3288</v>
      </c>
      <c r="L151" s="1" t="s">
        <v>3284</v>
      </c>
    </row>
    <row r="152" spans="1:12" x14ac:dyDescent="0.2">
      <c r="A152" s="1" t="s">
        <v>3289</v>
      </c>
    </row>
    <row r="154" spans="1:12" x14ac:dyDescent="0.2">
      <c r="A154" s="1" t="s">
        <v>3290</v>
      </c>
    </row>
    <row r="159" spans="1:12" x14ac:dyDescent="0.2">
      <c r="A159" s="1" t="s">
        <v>3296</v>
      </c>
    </row>
    <row r="160" spans="1:12" x14ac:dyDescent="0.2">
      <c r="B160" s="1" t="s">
        <v>3294</v>
      </c>
      <c r="D160" s="1" t="s">
        <v>3292</v>
      </c>
      <c r="F160" s="1" t="s">
        <v>3291</v>
      </c>
    </row>
    <row r="161" spans="1:11" x14ac:dyDescent="0.2">
      <c r="B161" s="1" t="s">
        <v>3295</v>
      </c>
      <c r="D161" s="1" t="s">
        <v>3293</v>
      </c>
    </row>
    <row r="165" spans="1:11" x14ac:dyDescent="0.2">
      <c r="A165" s="1" t="s">
        <v>3297</v>
      </c>
    </row>
    <row r="167" spans="1:11" x14ac:dyDescent="0.2">
      <c r="A167" s="18" t="s">
        <v>3300</v>
      </c>
      <c r="B167" s="18"/>
      <c r="C167" s="503">
        <f>1.14*1.12^2-1</f>
        <v>0.43001600000000018</v>
      </c>
    </row>
    <row r="168" spans="1:11" x14ac:dyDescent="0.2">
      <c r="A168" s="18" t="s">
        <v>3301</v>
      </c>
      <c r="B168" s="18"/>
      <c r="C168" s="18"/>
    </row>
    <row r="169" spans="1:11" x14ac:dyDescent="0.2">
      <c r="E169" s="1" t="s">
        <v>3298</v>
      </c>
    </row>
    <row r="170" spans="1:11" x14ac:dyDescent="0.2">
      <c r="E170" s="1" t="s">
        <v>3299</v>
      </c>
    </row>
    <row r="171" spans="1:11" ht="17" thickBot="1" x14ac:dyDescent="0.25"/>
    <row r="172" spans="1:11" ht="17" thickBot="1" x14ac:dyDescent="0.25">
      <c r="A172" s="18" t="s">
        <v>3302</v>
      </c>
      <c r="J172" s="82" t="s">
        <v>259</v>
      </c>
      <c r="K172" s="88">
        <f>-D191</f>
        <v>168.74881453407872</v>
      </c>
    </row>
    <row r="173" spans="1:11" x14ac:dyDescent="0.2">
      <c r="A173" s="18"/>
      <c r="B173" s="18" t="s">
        <v>3303</v>
      </c>
      <c r="J173" s="504"/>
      <c r="K173" s="505"/>
    </row>
    <row r="174" spans="1:11" x14ac:dyDescent="0.2">
      <c r="A174" s="18"/>
      <c r="B174" s="18"/>
      <c r="J174" s="504"/>
      <c r="K174" s="505"/>
    </row>
    <row r="175" spans="1:11" x14ac:dyDescent="0.2">
      <c r="A175" s="1" t="s">
        <v>3304</v>
      </c>
    </row>
    <row r="176" spans="1:11" x14ac:dyDescent="0.2">
      <c r="A176" s="1" t="s">
        <v>3305</v>
      </c>
    </row>
    <row r="177" spans="1:13" x14ac:dyDescent="0.2">
      <c r="J177" s="5" t="s">
        <v>3309</v>
      </c>
      <c r="K177" s="5"/>
      <c r="L177" s="507" t="s">
        <v>3312</v>
      </c>
      <c r="M177" s="507"/>
    </row>
    <row r="178" spans="1:13" x14ac:dyDescent="0.2">
      <c r="A178" s="52" t="s">
        <v>3317</v>
      </c>
      <c r="B178" s="52"/>
      <c r="C178" s="52"/>
      <c r="D178" s="52"/>
      <c r="E178" s="52"/>
      <c r="F178" s="52"/>
      <c r="G178" s="52"/>
      <c r="H178" s="52"/>
      <c r="J178" s="5" t="s">
        <v>740</v>
      </c>
      <c r="K178" s="5"/>
      <c r="L178" s="507" t="s">
        <v>3313</v>
      </c>
      <c r="M178" s="507"/>
    </row>
    <row r="179" spans="1:13" x14ac:dyDescent="0.2">
      <c r="A179" s="52"/>
      <c r="B179" s="52" t="s">
        <v>3306</v>
      </c>
      <c r="C179" s="52"/>
      <c r="D179" s="52"/>
      <c r="E179" s="52"/>
      <c r="F179" s="52"/>
      <c r="G179" s="52"/>
      <c r="H179" s="52"/>
      <c r="J179" s="5" t="s">
        <v>1452</v>
      </c>
      <c r="K179" s="5"/>
      <c r="L179" s="507" t="s">
        <v>3314</v>
      </c>
      <c r="M179" s="507"/>
    </row>
    <row r="180" spans="1:13" x14ac:dyDescent="0.2">
      <c r="A180" s="52"/>
      <c r="B180" s="52" t="s">
        <v>3307</v>
      </c>
      <c r="C180" s="52"/>
      <c r="D180" s="52"/>
      <c r="E180" s="52"/>
      <c r="F180" s="52"/>
      <c r="G180" s="52"/>
      <c r="H180" s="52"/>
      <c r="J180" s="5" t="s">
        <v>216</v>
      </c>
      <c r="K180" s="5"/>
      <c r="L180" s="507" t="s">
        <v>850</v>
      </c>
      <c r="M180" s="507"/>
    </row>
    <row r="181" spans="1:13" x14ac:dyDescent="0.2">
      <c r="A181" s="52"/>
      <c r="B181" s="52" t="s">
        <v>3308</v>
      </c>
      <c r="C181" s="52"/>
      <c r="D181" s="52"/>
      <c r="E181" s="52"/>
      <c r="F181" s="52"/>
      <c r="G181" s="52"/>
      <c r="H181" s="52"/>
      <c r="J181" s="5" t="s">
        <v>3310</v>
      </c>
      <c r="K181" s="5"/>
      <c r="L181" s="507" t="s">
        <v>3315</v>
      </c>
      <c r="M181" s="507"/>
    </row>
    <row r="182" spans="1:13" x14ac:dyDescent="0.2">
      <c r="J182" s="5" t="s">
        <v>3311</v>
      </c>
      <c r="K182" s="5"/>
      <c r="L182" s="507" t="s">
        <v>3316</v>
      </c>
      <c r="M182" s="507"/>
    </row>
    <row r="184" spans="1:13" x14ac:dyDescent="0.2">
      <c r="A184" s="11" t="s">
        <v>739</v>
      </c>
      <c r="B184" s="11">
        <v>0</v>
      </c>
      <c r="C184" s="11">
        <v>1</v>
      </c>
      <c r="D184" s="11">
        <v>2</v>
      </c>
      <c r="E184" s="11">
        <v>3</v>
      </c>
      <c r="F184" s="11">
        <v>4</v>
      </c>
      <c r="G184" s="11">
        <v>5</v>
      </c>
      <c r="H184" s="11">
        <v>6</v>
      </c>
      <c r="I184" s="11">
        <v>7</v>
      </c>
      <c r="J184" s="11">
        <v>8</v>
      </c>
      <c r="K184" s="11">
        <v>9</v>
      </c>
      <c r="L184" s="11">
        <v>10</v>
      </c>
    </row>
    <row r="185" spans="1:13" x14ac:dyDescent="0.2">
      <c r="A185" s="11" t="s">
        <v>803</v>
      </c>
      <c r="B185" s="11"/>
      <c r="C185" s="11" t="s">
        <v>742</v>
      </c>
      <c r="D185" s="11" t="s">
        <v>742</v>
      </c>
      <c r="E185" s="11" t="s">
        <v>742</v>
      </c>
      <c r="F185" s="506">
        <f>F141</f>
        <v>7.0000000000000009</v>
      </c>
      <c r="G185" s="506">
        <f>G141</f>
        <v>7.0000000000000009</v>
      </c>
      <c r="H185" s="506">
        <f>H141</f>
        <v>7.0000000000000009</v>
      </c>
      <c r="I185" s="506">
        <f>I141</f>
        <v>7.0000000000000009</v>
      </c>
      <c r="J185" s="506">
        <f>J141</f>
        <v>7.0000000000000009</v>
      </c>
      <c r="K185" s="506">
        <f>K141</f>
        <v>7.0000000000000009</v>
      </c>
      <c r="L185" s="506">
        <f>L141</f>
        <v>107</v>
      </c>
    </row>
    <row r="186" spans="1:13" s="115" customFormat="1" x14ac:dyDescent="0.2">
      <c r="A186" s="116" t="s">
        <v>3318</v>
      </c>
      <c r="F186" s="508">
        <f>7*(1+43%)</f>
        <v>10.01</v>
      </c>
      <c r="G186" s="508">
        <f>7*(1+43%)</f>
        <v>10.01</v>
      </c>
      <c r="H186" s="508">
        <f t="shared" ref="H186:K186" si="1">7*(1+43%)</f>
        <v>10.01</v>
      </c>
      <c r="I186" s="508">
        <f t="shared" si="1"/>
        <v>10.01</v>
      </c>
      <c r="J186" s="508">
        <f t="shared" si="1"/>
        <v>10.01</v>
      </c>
      <c r="K186" s="508">
        <f t="shared" si="1"/>
        <v>10.01</v>
      </c>
      <c r="L186" s="508">
        <f>107*(1+43%)</f>
        <v>153.01</v>
      </c>
    </row>
    <row r="188" spans="1:13" x14ac:dyDescent="0.2">
      <c r="A188" s="1" t="s">
        <v>743</v>
      </c>
      <c r="H188" s="86" t="s">
        <v>804</v>
      </c>
    </row>
    <row r="189" spans="1:13" x14ac:dyDescent="0.2">
      <c r="A189" s="1" t="s">
        <v>808</v>
      </c>
      <c r="D189" s="48">
        <v>4</v>
      </c>
      <c r="E189" s="1" t="s">
        <v>63</v>
      </c>
      <c r="H189" s="1" t="s">
        <v>805</v>
      </c>
    </row>
    <row r="190" spans="1:13" ht="17" thickBot="1" x14ac:dyDescent="0.25">
      <c r="A190" s="1" t="s">
        <v>745</v>
      </c>
      <c r="D190" s="48">
        <v>7</v>
      </c>
      <c r="E190" s="1" t="s">
        <v>695</v>
      </c>
      <c r="H190" s="1" t="s">
        <v>3319</v>
      </c>
    </row>
    <row r="191" spans="1:13" ht="19" thickBot="1" x14ac:dyDescent="0.25">
      <c r="A191" s="509" t="s">
        <v>811</v>
      </c>
      <c r="B191" s="510"/>
      <c r="C191" s="510"/>
      <c r="D191" s="511">
        <f>PV(D189/100,D190,D192,D193)</f>
        <v>-168.74881453407872</v>
      </c>
      <c r="E191" s="510" t="s">
        <v>64</v>
      </c>
      <c r="F191" s="512" t="s">
        <v>77</v>
      </c>
      <c r="J191" s="1" t="s">
        <v>806</v>
      </c>
    </row>
    <row r="192" spans="1:13" x14ac:dyDescent="0.2">
      <c r="A192" s="1" t="s">
        <v>809</v>
      </c>
      <c r="D192" s="266">
        <f>F186</f>
        <v>10.01</v>
      </c>
      <c r="E192" s="1" t="s">
        <v>65</v>
      </c>
      <c r="J192" s="1" t="s">
        <v>807</v>
      </c>
    </row>
    <row r="193" spans="1:8" x14ac:dyDescent="0.2">
      <c r="A193" s="1" t="s">
        <v>747</v>
      </c>
      <c r="D193" s="48">
        <v>143</v>
      </c>
      <c r="E193" s="1" t="s">
        <v>66</v>
      </c>
      <c r="G193" s="1" t="s">
        <v>810</v>
      </c>
    </row>
    <row r="195" spans="1:8" ht="17" thickBot="1" x14ac:dyDescent="0.25">
      <c r="A195" s="1" t="s">
        <v>782</v>
      </c>
    </row>
    <row r="196" spans="1:8" x14ac:dyDescent="0.2">
      <c r="A196" s="12" t="s">
        <v>814</v>
      </c>
      <c r="B196" s="13"/>
      <c r="C196" s="13"/>
      <c r="D196" s="13"/>
      <c r="E196" s="13"/>
      <c r="F196" s="13"/>
      <c r="G196" s="13"/>
      <c r="H196" s="14"/>
    </row>
    <row r="197" spans="1:8" x14ac:dyDescent="0.2">
      <c r="A197" s="72" t="s">
        <v>812</v>
      </c>
      <c r="H197" s="73"/>
    </row>
    <row r="198" spans="1:8" ht="17" thickBot="1" x14ac:dyDescent="0.25">
      <c r="A198" s="15" t="s">
        <v>813</v>
      </c>
      <c r="B198" s="16"/>
      <c r="C198" s="16"/>
      <c r="D198" s="16"/>
      <c r="E198" s="16"/>
      <c r="F198" s="16"/>
      <c r="G198" s="16"/>
      <c r="H198" s="17"/>
    </row>
    <row r="199" spans="1:8" ht="17" thickBot="1" x14ac:dyDescent="0.25"/>
    <row r="200" spans="1:8" x14ac:dyDescent="0.2">
      <c r="A200" s="12" t="s">
        <v>815</v>
      </c>
      <c r="B200" s="13"/>
      <c r="C200" s="13"/>
      <c r="D200" s="13"/>
      <c r="E200" s="13"/>
      <c r="F200" s="13"/>
      <c r="G200" s="13"/>
      <c r="H200" s="14"/>
    </row>
    <row r="201" spans="1:8" x14ac:dyDescent="0.2">
      <c r="A201" s="72" t="s">
        <v>816</v>
      </c>
      <c r="H201" s="73"/>
    </row>
    <row r="202" spans="1:8" x14ac:dyDescent="0.2">
      <c r="A202" s="72" t="s">
        <v>817</v>
      </c>
      <c r="H202" s="73"/>
    </row>
    <row r="203" spans="1:8" ht="17" thickBot="1" x14ac:dyDescent="0.25">
      <c r="A203" s="15" t="s">
        <v>818</v>
      </c>
      <c r="B203" s="16"/>
      <c r="C203" s="16"/>
      <c r="D203" s="16"/>
      <c r="E203" s="16"/>
      <c r="F203" s="16"/>
      <c r="G203" s="16"/>
      <c r="H203" s="17"/>
    </row>
    <row r="206" spans="1:8" x14ac:dyDescent="0.2">
      <c r="A206" s="1" t="s">
        <v>3320</v>
      </c>
    </row>
    <row r="207" spans="1:8" x14ac:dyDescent="0.2">
      <c r="A207" s="1" t="s">
        <v>3321</v>
      </c>
    </row>
    <row r="208" spans="1:8" x14ac:dyDescent="0.2">
      <c r="A208" s="1" t="s">
        <v>3322</v>
      </c>
    </row>
    <row r="218" spans="1:1" x14ac:dyDescent="0.2">
      <c r="A218" s="18" t="s">
        <v>748</v>
      </c>
    </row>
    <row r="219" spans="1:1" ht="18" x14ac:dyDescent="0.2">
      <c r="A219" s="81" t="s">
        <v>819</v>
      </c>
    </row>
    <row r="220" spans="1:1" x14ac:dyDescent="0.2">
      <c r="A220" s="81" t="s">
        <v>737</v>
      </c>
    </row>
    <row r="222" spans="1:1" x14ac:dyDescent="0.2">
      <c r="A222" s="1" t="s">
        <v>749</v>
      </c>
    </row>
    <row r="223" spans="1:1" x14ac:dyDescent="0.2">
      <c r="A223" s="1" t="s">
        <v>750</v>
      </c>
    </row>
    <row r="226" spans="1:12" x14ac:dyDescent="0.2">
      <c r="A226" s="1" t="s">
        <v>3323</v>
      </c>
      <c r="D226" s="513">
        <f>1.43*1.08-1</f>
        <v>0.5444</v>
      </c>
    </row>
    <row r="227" spans="1:12" x14ac:dyDescent="0.2">
      <c r="A227" s="1" t="s">
        <v>3324</v>
      </c>
    </row>
    <row r="229" spans="1:12" x14ac:dyDescent="0.2">
      <c r="A229" s="1" t="s">
        <v>3325</v>
      </c>
    </row>
    <row r="230" spans="1:12" x14ac:dyDescent="0.2">
      <c r="A230" s="1" t="s">
        <v>3326</v>
      </c>
    </row>
    <row r="233" spans="1:12" x14ac:dyDescent="0.2">
      <c r="A233" s="11" t="s">
        <v>739</v>
      </c>
      <c r="B233" s="11">
        <v>0</v>
      </c>
      <c r="C233" s="11">
        <v>1</v>
      </c>
      <c r="D233" s="11">
        <v>2</v>
      </c>
      <c r="E233" s="11">
        <v>3</v>
      </c>
      <c r="F233" s="128">
        <v>4</v>
      </c>
      <c r="G233" s="11">
        <v>5</v>
      </c>
      <c r="H233" s="11">
        <v>6</v>
      </c>
      <c r="I233" s="11">
        <v>7</v>
      </c>
      <c r="J233" s="11">
        <v>8</v>
      </c>
      <c r="K233" s="11">
        <v>9</v>
      </c>
      <c r="L233" s="11">
        <v>10</v>
      </c>
    </row>
    <row r="234" spans="1:12" x14ac:dyDescent="0.2">
      <c r="A234" s="11" t="s">
        <v>803</v>
      </c>
      <c r="B234" s="11"/>
      <c r="C234" s="11" t="s">
        <v>742</v>
      </c>
      <c r="D234" s="11" t="s">
        <v>742</v>
      </c>
      <c r="E234" s="11" t="s">
        <v>742</v>
      </c>
      <c r="F234" s="128">
        <f>F185</f>
        <v>7.0000000000000009</v>
      </c>
      <c r="G234" s="11">
        <f t="shared" ref="G234:L234" si="2">G185</f>
        <v>7.0000000000000009</v>
      </c>
      <c r="H234" s="11">
        <f t="shared" si="2"/>
        <v>7.0000000000000009</v>
      </c>
      <c r="I234" s="11">
        <f t="shared" si="2"/>
        <v>7.0000000000000009</v>
      </c>
      <c r="J234" s="11">
        <f t="shared" si="2"/>
        <v>7.0000000000000009</v>
      </c>
      <c r="K234" s="11">
        <f t="shared" si="2"/>
        <v>7.0000000000000009</v>
      </c>
      <c r="L234" s="11">
        <f t="shared" si="2"/>
        <v>107</v>
      </c>
    </row>
    <row r="235" spans="1:12" x14ac:dyDescent="0.2">
      <c r="A235" s="1" t="s">
        <v>820</v>
      </c>
      <c r="F235" s="20">
        <f>7*(1+54.44%)</f>
        <v>10.8108</v>
      </c>
      <c r="G235" s="1">
        <f>G234*(1+$G$251)</f>
        <v>10.810800000000002</v>
      </c>
      <c r="H235" s="1">
        <f>H234*(1+$G$251)</f>
        <v>10.810800000000002</v>
      </c>
      <c r="I235" s="1">
        <f>I234*(1+$G$251)</f>
        <v>10.810800000000002</v>
      </c>
      <c r="J235" s="1">
        <f>J234*(1+$G$251)</f>
        <v>10.810800000000002</v>
      </c>
      <c r="K235" s="1">
        <f>K234*(1+$G$251)</f>
        <v>10.810800000000002</v>
      </c>
      <c r="L235" s="1">
        <f>L234*(1+$G$251)</f>
        <v>165.2508</v>
      </c>
    </row>
    <row r="237" spans="1:12" x14ac:dyDescent="0.2">
      <c r="F237" s="1" t="s">
        <v>2069</v>
      </c>
      <c r="L237" s="1" t="s">
        <v>2070</v>
      </c>
    </row>
    <row r="238" spans="1:12" x14ac:dyDescent="0.2">
      <c r="A238" s="1" t="s">
        <v>3327</v>
      </c>
    </row>
    <row r="239" spans="1:12" x14ac:dyDescent="0.2">
      <c r="A239" s="1" t="s">
        <v>3328</v>
      </c>
    </row>
    <row r="240" spans="1:12" x14ac:dyDescent="0.2">
      <c r="A240" s="1" t="s">
        <v>3329</v>
      </c>
    </row>
    <row r="242" spans="1:10" x14ac:dyDescent="0.2">
      <c r="A242" s="63" t="s">
        <v>3330</v>
      </c>
    </row>
    <row r="244" spans="1:10" x14ac:dyDescent="0.2">
      <c r="H244" s="18" t="s">
        <v>821</v>
      </c>
    </row>
    <row r="245" spans="1:10" x14ac:dyDescent="0.2">
      <c r="A245" s="1" t="s">
        <v>743</v>
      </c>
      <c r="D245" s="48" t="s">
        <v>837</v>
      </c>
      <c r="E245" s="1" t="s">
        <v>694</v>
      </c>
      <c r="H245" s="1" t="s">
        <v>822</v>
      </c>
      <c r="J245" s="37">
        <v>0.43</v>
      </c>
    </row>
    <row r="246" spans="1:10" x14ac:dyDescent="0.2">
      <c r="A246" s="1" t="s">
        <v>744</v>
      </c>
      <c r="D246" s="48">
        <v>3</v>
      </c>
      <c r="E246" s="1" t="s">
        <v>63</v>
      </c>
      <c r="H246" s="1" t="s">
        <v>823</v>
      </c>
      <c r="J246" s="37">
        <v>0.08</v>
      </c>
    </row>
    <row r="247" spans="1:10" x14ac:dyDescent="0.2">
      <c r="A247" s="1" t="s">
        <v>745</v>
      </c>
      <c r="D247" s="48">
        <v>7</v>
      </c>
      <c r="E247" s="1" t="s">
        <v>695</v>
      </c>
      <c r="H247" s="1" t="s">
        <v>824</v>
      </c>
    </row>
    <row r="248" spans="1:10" x14ac:dyDescent="0.2">
      <c r="A248" s="18" t="s">
        <v>828</v>
      </c>
      <c r="B248" s="18"/>
      <c r="C248" s="18"/>
      <c r="D248" s="33">
        <f>PV(D246/100,D247,D249,D250)</f>
        <v>-192.92819598417663</v>
      </c>
      <c r="E248" s="1" t="s">
        <v>64</v>
      </c>
      <c r="F248" s="514" t="s">
        <v>77</v>
      </c>
    </row>
    <row r="249" spans="1:10" x14ac:dyDescent="0.2">
      <c r="A249" s="1" t="s">
        <v>746</v>
      </c>
      <c r="D249" s="48">
        <f>F235</f>
        <v>10.8108</v>
      </c>
      <c r="E249" s="1" t="s">
        <v>65</v>
      </c>
      <c r="F249" s="1" t="s">
        <v>3331</v>
      </c>
    </row>
    <row r="250" spans="1:10" x14ac:dyDescent="0.2">
      <c r="A250" s="1" t="s">
        <v>747</v>
      </c>
      <c r="D250" s="48">
        <f>L235-K235</f>
        <v>154.44</v>
      </c>
      <c r="E250" s="1" t="s">
        <v>66</v>
      </c>
      <c r="F250" s="1" t="s">
        <v>3332</v>
      </c>
      <c r="H250" s="1" t="s">
        <v>825</v>
      </c>
    </row>
    <row r="251" spans="1:10" x14ac:dyDescent="0.2">
      <c r="G251" s="472">
        <f>1.43*1.08-1</f>
        <v>0.5444</v>
      </c>
    </row>
    <row r="252" spans="1:10" x14ac:dyDescent="0.2">
      <c r="A252" s="1" t="s">
        <v>2072</v>
      </c>
      <c r="C252" s="25"/>
      <c r="D252" s="1" t="s">
        <v>2071</v>
      </c>
      <c r="G252" s="472"/>
    </row>
    <row r="253" spans="1:10" x14ac:dyDescent="0.2">
      <c r="C253" s="25"/>
      <c r="G253" s="253"/>
    </row>
    <row r="254" spans="1:10" x14ac:dyDescent="0.2">
      <c r="A254" s="1" t="s">
        <v>826</v>
      </c>
    </row>
    <row r="255" spans="1:10" x14ac:dyDescent="0.2">
      <c r="A255" s="1" t="s">
        <v>827</v>
      </c>
    </row>
    <row r="257" spans="1:9" x14ac:dyDescent="0.2">
      <c r="B257" s="1" t="s">
        <v>3333</v>
      </c>
      <c r="E257" s="1">
        <v>4</v>
      </c>
    </row>
    <row r="258" spans="1:9" x14ac:dyDescent="0.2">
      <c r="B258" s="1" t="s">
        <v>3334</v>
      </c>
      <c r="E258" s="1">
        <v>4</v>
      </c>
    </row>
    <row r="259" spans="1:9" x14ac:dyDescent="0.2">
      <c r="B259" s="1" t="s">
        <v>3335</v>
      </c>
      <c r="E259" s="1">
        <v>3</v>
      </c>
      <c r="F259" s="1" t="s">
        <v>3336</v>
      </c>
    </row>
    <row r="260" spans="1:9" x14ac:dyDescent="0.2">
      <c r="B260" s="1" t="s">
        <v>3337</v>
      </c>
      <c r="E260" s="90">
        <f>-D248</f>
        <v>192.92819598417663</v>
      </c>
      <c r="F260" s="1" t="s">
        <v>3338</v>
      </c>
    </row>
    <row r="262" spans="1:9" x14ac:dyDescent="0.2">
      <c r="B262" s="1" t="s">
        <v>3339</v>
      </c>
    </row>
    <row r="263" spans="1:9" ht="21" x14ac:dyDescent="0.25">
      <c r="B263" s="18" t="s">
        <v>3340</v>
      </c>
      <c r="C263" s="18"/>
      <c r="D263" s="18"/>
      <c r="E263" s="515">
        <f>E260*1.03</f>
        <v>198.71604186370192</v>
      </c>
      <c r="F263" s="18" t="s">
        <v>833</v>
      </c>
    </row>
    <row r="264" spans="1:9" ht="17" thickBot="1" x14ac:dyDescent="0.25"/>
    <row r="265" spans="1:9" x14ac:dyDescent="0.2">
      <c r="A265" s="516" t="s">
        <v>3341</v>
      </c>
      <c r="B265" s="517"/>
      <c r="C265" s="517"/>
      <c r="D265" s="517"/>
      <c r="E265" s="517"/>
      <c r="F265" s="517"/>
      <c r="G265" s="517"/>
      <c r="H265" s="517"/>
      <c r="I265" s="518"/>
    </row>
    <row r="266" spans="1:9" x14ac:dyDescent="0.2">
      <c r="A266" s="519" t="s">
        <v>3342</v>
      </c>
      <c r="B266" s="520"/>
      <c r="C266" s="520"/>
      <c r="D266" s="520"/>
      <c r="E266" s="520"/>
      <c r="F266" s="520"/>
      <c r="G266" s="520"/>
      <c r="H266" s="520"/>
      <c r="I266" s="521"/>
    </row>
    <row r="267" spans="1:9" x14ac:dyDescent="0.2">
      <c r="A267" s="519"/>
      <c r="B267" s="520"/>
      <c r="C267" s="520"/>
      <c r="D267" s="520"/>
      <c r="E267" s="520"/>
      <c r="F267" s="520"/>
      <c r="G267" s="520"/>
      <c r="H267" s="520"/>
      <c r="I267" s="521"/>
    </row>
    <row r="268" spans="1:9" x14ac:dyDescent="0.2">
      <c r="A268" s="519" t="s">
        <v>3343</v>
      </c>
      <c r="B268" s="520"/>
      <c r="C268" s="520"/>
      <c r="D268" s="520"/>
      <c r="E268" s="520"/>
      <c r="F268" s="520"/>
      <c r="G268" s="520"/>
      <c r="H268" s="520"/>
      <c r="I268" s="521"/>
    </row>
    <row r="269" spans="1:9" x14ac:dyDescent="0.2">
      <c r="A269" s="519" t="s">
        <v>3344</v>
      </c>
      <c r="B269" s="520"/>
      <c r="C269" s="520"/>
      <c r="D269" s="520"/>
      <c r="E269" s="520"/>
      <c r="F269" s="520"/>
      <c r="G269" s="520"/>
      <c r="H269" s="520"/>
      <c r="I269" s="521"/>
    </row>
    <row r="270" spans="1:9" ht="17" thickBot="1" x14ac:dyDescent="0.25">
      <c r="A270" s="522" t="s">
        <v>3345</v>
      </c>
      <c r="B270" s="523"/>
      <c r="C270" s="523"/>
      <c r="D270" s="523"/>
      <c r="E270" s="523"/>
      <c r="F270" s="523"/>
      <c r="G270" s="523"/>
      <c r="H270" s="523"/>
      <c r="I270" s="524"/>
    </row>
    <row r="273" spans="1:10" x14ac:dyDescent="0.2">
      <c r="A273" s="1" t="s">
        <v>829</v>
      </c>
    </row>
    <row r="274" spans="1:10" x14ac:dyDescent="0.2">
      <c r="A274" s="1" t="s">
        <v>830</v>
      </c>
    </row>
    <row r="275" spans="1:10" x14ac:dyDescent="0.2">
      <c r="A275" s="1" t="s">
        <v>831</v>
      </c>
    </row>
    <row r="276" spans="1:10" x14ac:dyDescent="0.2">
      <c r="A276" s="1" t="s">
        <v>832</v>
      </c>
      <c r="G276" s="90">
        <f>-D248*1.03</f>
        <v>198.71604186370192</v>
      </c>
      <c r="I276" s="1" t="s">
        <v>833</v>
      </c>
    </row>
    <row r="278" spans="1:10" x14ac:dyDescent="0.2">
      <c r="A278" s="1" t="s">
        <v>834</v>
      </c>
      <c r="B278" s="1" t="s">
        <v>835</v>
      </c>
      <c r="I278" s="1" t="s">
        <v>2076</v>
      </c>
      <c r="J278" s="1" t="s">
        <v>2073</v>
      </c>
    </row>
    <row r="279" spans="1:10" x14ac:dyDescent="0.2">
      <c r="B279" s="1" t="s">
        <v>836</v>
      </c>
      <c r="I279" s="1" t="s">
        <v>2077</v>
      </c>
      <c r="J279" s="1" t="s">
        <v>2074</v>
      </c>
    </row>
    <row r="280" spans="1:10" x14ac:dyDescent="0.2">
      <c r="I280" s="1" t="s">
        <v>2078</v>
      </c>
      <c r="J280" s="1" t="s">
        <v>2075</v>
      </c>
    </row>
    <row r="281" spans="1:10" x14ac:dyDescent="0.2">
      <c r="I281" s="1" t="s">
        <v>2079</v>
      </c>
    </row>
    <row r="282" spans="1:10" x14ac:dyDescent="0.2">
      <c r="I282" s="1" t="s">
        <v>2080</v>
      </c>
    </row>
    <row r="284" spans="1:10" x14ac:dyDescent="0.2">
      <c r="A284" s="2" t="s">
        <v>728</v>
      </c>
      <c r="B284" s="2"/>
      <c r="C284" s="2"/>
      <c r="D284" s="2"/>
      <c r="E284" s="2"/>
      <c r="F284" s="2"/>
      <c r="G284" s="2"/>
      <c r="H284" s="2">
        <v>4.2</v>
      </c>
    </row>
    <row r="286" spans="1:10" x14ac:dyDescent="0.2">
      <c r="A286" s="1" t="s">
        <v>711</v>
      </c>
    </row>
    <row r="287" spans="1:10" x14ac:dyDescent="0.2">
      <c r="A287" s="1" t="s">
        <v>712</v>
      </c>
    </row>
    <row r="288" spans="1:10" x14ac:dyDescent="0.2">
      <c r="A288" s="1" t="s">
        <v>713</v>
      </c>
    </row>
    <row r="290" spans="1:10" x14ac:dyDescent="0.2">
      <c r="A290" s="1" t="s">
        <v>568</v>
      </c>
    </row>
    <row r="291" spans="1:10" x14ac:dyDescent="0.2">
      <c r="A291" s="1" t="s">
        <v>714</v>
      </c>
      <c r="F291" s="75">
        <f>1.02^56-1</f>
        <v>2.0311652864835517</v>
      </c>
      <c r="H291" s="1" t="s">
        <v>2082</v>
      </c>
    </row>
    <row r="292" spans="1:10" x14ac:dyDescent="0.2">
      <c r="A292" s="1" t="s">
        <v>715</v>
      </c>
      <c r="E292" s="75">
        <f>1.07^3*1.08*1.04-1</f>
        <v>0.37596829760000028</v>
      </c>
      <c r="H292" s="1" t="s">
        <v>2081</v>
      </c>
    </row>
    <row r="293" spans="1:10" ht="23" customHeight="1" x14ac:dyDescent="0.2">
      <c r="A293" s="1" t="s">
        <v>2083</v>
      </c>
      <c r="F293" s="75">
        <f>(1+F291)/(1+E292)-1</f>
        <v>1.202932503438189</v>
      </c>
    </row>
    <row r="294" spans="1:10" ht="33" customHeight="1" x14ac:dyDescent="0.2">
      <c r="A294" s="1" t="s">
        <v>2084</v>
      </c>
    </row>
    <row r="296" spans="1:10" x14ac:dyDescent="0.2">
      <c r="A296" s="18" t="s">
        <v>146</v>
      </c>
    </row>
    <row r="297" spans="1:10" ht="17" thickBot="1" x14ac:dyDescent="0.25"/>
    <row r="298" spans="1:10" ht="17" thickBot="1" x14ac:dyDescent="0.25">
      <c r="A298" s="18" t="s">
        <v>716</v>
      </c>
      <c r="I298" s="82" t="s">
        <v>99</v>
      </c>
      <c r="J298" s="91">
        <v>2.0311659999999998</v>
      </c>
    </row>
    <row r="299" spans="1:10" x14ac:dyDescent="0.2">
      <c r="A299" s="1" t="s">
        <v>717</v>
      </c>
      <c r="J299" s="1" t="s">
        <v>843</v>
      </c>
    </row>
    <row r="300" spans="1:10" x14ac:dyDescent="0.2">
      <c r="A300" s="1" t="s">
        <v>718</v>
      </c>
      <c r="J300" s="1" t="s">
        <v>844</v>
      </c>
    </row>
    <row r="303" spans="1:10" x14ac:dyDescent="0.2">
      <c r="A303" s="1" t="s">
        <v>838</v>
      </c>
    </row>
    <row r="304" spans="1:10" x14ac:dyDescent="0.2">
      <c r="A304" s="1" t="s">
        <v>839</v>
      </c>
    </row>
    <row r="306" spans="1:10" x14ac:dyDescent="0.2">
      <c r="A306" s="1" t="s">
        <v>840</v>
      </c>
    </row>
    <row r="308" spans="1:10" ht="17" thickBot="1" x14ac:dyDescent="0.25"/>
    <row r="309" spans="1:10" ht="17" thickBot="1" x14ac:dyDescent="0.25">
      <c r="A309" s="18" t="s">
        <v>721</v>
      </c>
      <c r="I309" s="82" t="s">
        <v>842</v>
      </c>
      <c r="J309" s="92">
        <f>C315</f>
        <v>0.37596829760000028</v>
      </c>
    </row>
    <row r="310" spans="1:10" x14ac:dyDescent="0.2">
      <c r="A310" s="1" t="s">
        <v>719</v>
      </c>
      <c r="J310" s="1" t="s">
        <v>845</v>
      </c>
    </row>
    <row r="311" spans="1:10" x14ac:dyDescent="0.2">
      <c r="A311" s="1" t="s">
        <v>720</v>
      </c>
      <c r="J311" s="1" t="s">
        <v>844</v>
      </c>
    </row>
    <row r="313" spans="1:10" x14ac:dyDescent="0.2">
      <c r="A313" s="1" t="s">
        <v>841</v>
      </c>
    </row>
    <row r="314" spans="1:10" x14ac:dyDescent="0.2">
      <c r="A314" s="1" t="s">
        <v>713</v>
      </c>
    </row>
    <row r="315" spans="1:10" x14ac:dyDescent="0.2">
      <c r="C315" s="75">
        <f>1.07^3*1.08*1.04-1</f>
        <v>0.37596829760000028</v>
      </c>
    </row>
    <row r="316" spans="1:10" ht="17" thickBot="1" x14ac:dyDescent="0.25"/>
    <row r="317" spans="1:10" ht="17" thickBot="1" x14ac:dyDescent="0.25">
      <c r="A317" s="18" t="s">
        <v>722</v>
      </c>
      <c r="I317" s="82" t="s">
        <v>842</v>
      </c>
      <c r="J317" s="92">
        <f>E326</f>
        <v>1.2029582083304264</v>
      </c>
    </row>
    <row r="318" spans="1:10" x14ac:dyDescent="0.2">
      <c r="A318" s="1" t="s">
        <v>723</v>
      </c>
      <c r="J318" s="1" t="s">
        <v>850</v>
      </c>
    </row>
    <row r="319" spans="1:10" x14ac:dyDescent="0.2">
      <c r="A319" s="1" t="s">
        <v>724</v>
      </c>
      <c r="J319" s="1" t="s">
        <v>844</v>
      </c>
    </row>
    <row r="321" spans="1:8" x14ac:dyDescent="0.2">
      <c r="A321" s="1" t="s">
        <v>846</v>
      </c>
    </row>
    <row r="323" spans="1:8" x14ac:dyDescent="0.2">
      <c r="A323" s="1" t="s">
        <v>847</v>
      </c>
    </row>
    <row r="324" spans="1:8" x14ac:dyDescent="0.2">
      <c r="A324" s="1" t="s">
        <v>848</v>
      </c>
    </row>
    <row r="326" spans="1:8" x14ac:dyDescent="0.2">
      <c r="A326" s="1" t="s">
        <v>849</v>
      </c>
      <c r="E326" s="75">
        <f>3.0312/1.375968-1</f>
        <v>1.2029582083304264</v>
      </c>
    </row>
    <row r="327" spans="1:8" ht="17" thickBot="1" x14ac:dyDescent="0.25"/>
    <row r="328" spans="1:8" ht="17" thickBot="1" x14ac:dyDescent="0.25">
      <c r="A328" s="18" t="s">
        <v>725</v>
      </c>
      <c r="G328" s="82" t="s">
        <v>245</v>
      </c>
      <c r="H328" s="93">
        <f>D334</f>
        <v>0.18440800037379645</v>
      </c>
    </row>
    <row r="329" spans="1:8" x14ac:dyDescent="0.2">
      <c r="A329" s="1" t="s">
        <v>726</v>
      </c>
    </row>
    <row r="330" spans="1:8" x14ac:dyDescent="0.2">
      <c r="A330" s="1" t="s">
        <v>727</v>
      </c>
    </row>
    <row r="332" spans="1:8" x14ac:dyDescent="0.2">
      <c r="A332" s="1" t="s">
        <v>851</v>
      </c>
    </row>
    <row r="334" spans="1:8" x14ac:dyDescent="0.2">
      <c r="A334" s="18" t="s">
        <v>852</v>
      </c>
      <c r="B334" s="18"/>
      <c r="C334" s="18"/>
      <c r="D334" s="94">
        <f>(1+120.2958%)^(1/(4+8/12))-1</f>
        <v>0.18440800037379645</v>
      </c>
    </row>
    <row r="339" spans="1:8" x14ac:dyDescent="0.2">
      <c r="A339" s="2" t="s">
        <v>751</v>
      </c>
      <c r="B339" s="2"/>
      <c r="C339" s="2"/>
      <c r="D339" s="2"/>
      <c r="E339" s="2"/>
      <c r="F339" s="2"/>
      <c r="G339" s="2"/>
      <c r="H339" s="2">
        <v>4.3</v>
      </c>
    </row>
    <row r="341" spans="1:8" x14ac:dyDescent="0.2">
      <c r="A341" s="1" t="s">
        <v>752</v>
      </c>
    </row>
    <row r="342" spans="1:8" x14ac:dyDescent="0.2">
      <c r="C342" s="1" t="s">
        <v>739</v>
      </c>
      <c r="D342" s="1" t="s">
        <v>739</v>
      </c>
    </row>
    <row r="343" spans="1:8" x14ac:dyDescent="0.2">
      <c r="A343" s="1" t="s">
        <v>753</v>
      </c>
      <c r="C343" s="1">
        <v>0</v>
      </c>
      <c r="D343" s="1">
        <v>4</v>
      </c>
      <c r="E343" s="1" t="s">
        <v>756</v>
      </c>
    </row>
    <row r="344" spans="1:8" x14ac:dyDescent="0.2">
      <c r="A344" s="1" t="s">
        <v>765</v>
      </c>
      <c r="B344" s="1" t="s">
        <v>754</v>
      </c>
      <c r="C344" s="1">
        <v>300</v>
      </c>
      <c r="D344" s="1">
        <v>-340</v>
      </c>
      <c r="E344" s="1" t="s">
        <v>757</v>
      </c>
    </row>
    <row r="345" spans="1:8" x14ac:dyDescent="0.2">
      <c r="A345" s="1" t="s">
        <v>765</v>
      </c>
      <c r="B345" s="1" t="s">
        <v>755</v>
      </c>
      <c r="C345" s="1">
        <v>300</v>
      </c>
      <c r="D345" s="1">
        <v>-315</v>
      </c>
      <c r="E345" s="1" t="s">
        <v>758</v>
      </c>
    </row>
    <row r="347" spans="1:8" x14ac:dyDescent="0.2">
      <c r="A347" s="1" t="s">
        <v>568</v>
      </c>
    </row>
    <row r="348" spans="1:8" x14ac:dyDescent="0.2">
      <c r="A348" s="1" t="s">
        <v>759</v>
      </c>
    </row>
    <row r="349" spans="1:8" x14ac:dyDescent="0.2">
      <c r="A349" s="1" t="s">
        <v>760</v>
      </c>
    </row>
    <row r="350" spans="1:8" x14ac:dyDescent="0.2">
      <c r="A350" s="1" t="s">
        <v>761</v>
      </c>
    </row>
    <row r="351" spans="1:8" x14ac:dyDescent="0.2">
      <c r="A351" s="1" t="s">
        <v>762</v>
      </c>
    </row>
    <row r="353" spans="1:1" x14ac:dyDescent="0.2">
      <c r="A353" s="1" t="s">
        <v>763</v>
      </c>
    </row>
    <row r="355" spans="1:1" x14ac:dyDescent="0.2">
      <c r="A355" s="18" t="s">
        <v>764</v>
      </c>
    </row>
    <row r="356" spans="1:1" x14ac:dyDescent="0.2">
      <c r="A356" s="18" t="s">
        <v>2085</v>
      </c>
    </row>
    <row r="357" spans="1:1" x14ac:dyDescent="0.2">
      <c r="A357" s="1" t="s">
        <v>766</v>
      </c>
    </row>
    <row r="358" spans="1:1" x14ac:dyDescent="0.2">
      <c r="A358" s="1" t="s">
        <v>767</v>
      </c>
    </row>
    <row r="363" spans="1:1" x14ac:dyDescent="0.2">
      <c r="A363" s="18" t="s">
        <v>768</v>
      </c>
    </row>
    <row r="364" spans="1:1" x14ac:dyDescent="0.2">
      <c r="A364" s="1" t="s">
        <v>853</v>
      </c>
    </row>
    <row r="365" spans="1:1" x14ac:dyDescent="0.2">
      <c r="A365" s="1" t="s">
        <v>769</v>
      </c>
    </row>
    <row r="369" spans="1:5" x14ac:dyDescent="0.2">
      <c r="A369" s="1" t="s">
        <v>770</v>
      </c>
    </row>
    <row r="374" spans="1:5" x14ac:dyDescent="0.2">
      <c r="A374" s="18" t="s">
        <v>771</v>
      </c>
    </row>
    <row r="375" spans="1:5" x14ac:dyDescent="0.2">
      <c r="A375" s="1" t="s">
        <v>772</v>
      </c>
    </row>
    <row r="376" spans="1:5" x14ac:dyDescent="0.2">
      <c r="A376" s="1" t="s">
        <v>773</v>
      </c>
    </row>
    <row r="377" spans="1:5" x14ac:dyDescent="0.2">
      <c r="D377" s="1" t="s">
        <v>2087</v>
      </c>
    </row>
    <row r="379" spans="1:5" x14ac:dyDescent="0.2">
      <c r="C379" s="95">
        <f>1.0793648^0.25-1</f>
        <v>1.9276620378157139E-2</v>
      </c>
    </row>
    <row r="381" spans="1:5" x14ac:dyDescent="0.2">
      <c r="E381" s="1" t="s">
        <v>2086</v>
      </c>
    </row>
    <row r="383" spans="1:5" x14ac:dyDescent="0.2">
      <c r="A383" s="18" t="s">
        <v>762</v>
      </c>
    </row>
    <row r="384" spans="1:5" x14ac:dyDescent="0.2">
      <c r="A384" s="1" t="s">
        <v>854</v>
      </c>
    </row>
    <row r="385" spans="1:6" x14ac:dyDescent="0.2">
      <c r="A385" s="1" t="s">
        <v>762</v>
      </c>
    </row>
    <row r="387" spans="1:6" x14ac:dyDescent="0.2">
      <c r="B387" s="75">
        <f>1.0793648/1.01^3-1</f>
        <v>4.762084089989238E-2</v>
      </c>
    </row>
    <row r="389" spans="1:6" x14ac:dyDescent="0.2">
      <c r="A389" s="1" t="s">
        <v>2095</v>
      </c>
      <c r="F389" s="1" t="s">
        <v>2088</v>
      </c>
    </row>
    <row r="390" spans="1:6" x14ac:dyDescent="0.2">
      <c r="A390" s="1" t="s">
        <v>2096</v>
      </c>
      <c r="D390" s="1" t="s">
        <v>845</v>
      </c>
    </row>
    <row r="391" spans="1:6" x14ac:dyDescent="0.2">
      <c r="D391" s="1" t="s">
        <v>2092</v>
      </c>
      <c r="E391" s="1" t="s">
        <v>2089</v>
      </c>
    </row>
    <row r="392" spans="1:6" x14ac:dyDescent="0.2">
      <c r="D392" s="1" t="s">
        <v>2093</v>
      </c>
      <c r="E392" s="1" t="s">
        <v>2090</v>
      </c>
    </row>
    <row r="393" spans="1:6" x14ac:dyDescent="0.2">
      <c r="D393" s="1" t="s">
        <v>2094</v>
      </c>
      <c r="E393" s="1" t="s">
        <v>2091</v>
      </c>
    </row>
    <row r="395" spans="1:6" x14ac:dyDescent="0.2">
      <c r="A395" s="1" t="s">
        <v>2097</v>
      </c>
    </row>
  </sheetData>
  <mergeCells count="2">
    <mergeCell ref="C111:C112"/>
    <mergeCell ref="G251:G252"/>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1A209-AE64-704B-BF28-B3E6939D6234}">
  <dimension ref="A1:I177"/>
  <sheetViews>
    <sheetView rightToLeft="1" topLeftCell="A196" zoomScale="290" workbookViewId="0">
      <selection activeCell="C178" sqref="C178"/>
    </sheetView>
  </sheetViews>
  <sheetFormatPr baseColWidth="10" defaultRowHeight="16" x14ac:dyDescent="0.2"/>
  <cols>
    <col min="1" max="16384" width="10.83203125" style="1"/>
  </cols>
  <sheetData>
    <row r="1" spans="1:8" x14ac:dyDescent="0.2">
      <c r="A1" s="5" t="s">
        <v>2099</v>
      </c>
      <c r="B1" s="5"/>
      <c r="C1" s="5"/>
      <c r="D1" s="5"/>
      <c r="E1" s="5"/>
      <c r="F1" s="5"/>
      <c r="G1" s="5"/>
      <c r="H1" s="246">
        <v>45644</v>
      </c>
    </row>
    <row r="2" spans="1:8" ht="17" thickBot="1" x14ac:dyDescent="0.25"/>
    <row r="3" spans="1:8" ht="17" thickBot="1" x14ac:dyDescent="0.25">
      <c r="A3" s="60" t="s">
        <v>2100</v>
      </c>
      <c r="B3" s="61"/>
      <c r="C3" s="61"/>
      <c r="D3" s="61"/>
      <c r="E3" s="61"/>
      <c r="F3" s="61"/>
      <c r="G3" s="61"/>
      <c r="H3" s="127"/>
    </row>
    <row r="14" spans="1:8" x14ac:dyDescent="0.2">
      <c r="A14" s="18" t="s">
        <v>146</v>
      </c>
    </row>
    <row r="16" spans="1:8" x14ac:dyDescent="0.2">
      <c r="A16" s="1" t="s">
        <v>2103</v>
      </c>
    </row>
    <row r="18" spans="1:8" x14ac:dyDescent="0.2">
      <c r="A18" s="1" t="s">
        <v>2101</v>
      </c>
      <c r="F18" s="1">
        <v>10</v>
      </c>
      <c r="G18" s="1" t="s">
        <v>62</v>
      </c>
    </row>
    <row r="19" spans="1:8" x14ac:dyDescent="0.2">
      <c r="A19" s="1" t="s">
        <v>2102</v>
      </c>
      <c r="F19" s="1">
        <v>6.5</v>
      </c>
      <c r="G19" s="1" t="s">
        <v>63</v>
      </c>
    </row>
    <row r="20" spans="1:8" x14ac:dyDescent="0.2">
      <c r="A20" s="1" t="s">
        <v>2104</v>
      </c>
      <c r="F20" s="267">
        <f>PV(F19/100,F18,F21,F22)</f>
        <v>-82.027924443097277</v>
      </c>
      <c r="G20" s="1" t="s">
        <v>64</v>
      </c>
      <c r="H20" s="1" t="s">
        <v>227</v>
      </c>
    </row>
    <row r="21" spans="1:8" x14ac:dyDescent="0.2">
      <c r="A21" s="1" t="s">
        <v>2105</v>
      </c>
      <c r="F21" s="1">
        <f>4%*100</f>
        <v>4</v>
      </c>
      <c r="G21" s="1" t="s">
        <v>65</v>
      </c>
    </row>
    <row r="22" spans="1:8" x14ac:dyDescent="0.2">
      <c r="A22" s="1" t="s">
        <v>656</v>
      </c>
      <c r="F22" s="1">
        <v>100</v>
      </c>
      <c r="G22" s="1" t="s">
        <v>66</v>
      </c>
    </row>
    <row r="24" spans="1:8" x14ac:dyDescent="0.2">
      <c r="A24" s="18" t="s">
        <v>2106</v>
      </c>
    </row>
    <row r="36" spans="1:6" x14ac:dyDescent="0.2">
      <c r="A36" s="1" t="s">
        <v>146</v>
      </c>
    </row>
    <row r="38" spans="1:6" x14ac:dyDescent="0.2">
      <c r="A38" s="1" t="s">
        <v>2107</v>
      </c>
    </row>
    <row r="39" spans="1:6" x14ac:dyDescent="0.2">
      <c r="A39" s="1" t="s">
        <v>2108</v>
      </c>
    </row>
    <row r="40" spans="1:6" x14ac:dyDescent="0.2">
      <c r="A40" s="1" t="s">
        <v>2109</v>
      </c>
    </row>
    <row r="41" spans="1:6" x14ac:dyDescent="0.2">
      <c r="A41" s="1" t="s">
        <v>2110</v>
      </c>
    </row>
    <row r="42" spans="1:6" x14ac:dyDescent="0.2">
      <c r="B42" s="1" t="s">
        <v>2111</v>
      </c>
    </row>
    <row r="43" spans="1:6" x14ac:dyDescent="0.2">
      <c r="D43" s="268">
        <f>1.10381^0.25-1</f>
        <v>2.499932894117296E-2</v>
      </c>
      <c r="F43" s="1" t="s">
        <v>2112</v>
      </c>
    </row>
    <row r="44" spans="1:6" x14ac:dyDescent="0.2">
      <c r="A44" s="1" t="s">
        <v>2113</v>
      </c>
    </row>
    <row r="45" spans="1:6" x14ac:dyDescent="0.2">
      <c r="A45" s="1" t="s">
        <v>2114</v>
      </c>
    </row>
    <row r="46" spans="1:6" x14ac:dyDescent="0.2">
      <c r="A46" s="1" t="s">
        <v>2115</v>
      </c>
    </row>
    <row r="47" spans="1:6" x14ac:dyDescent="0.2">
      <c r="D47" s="172">
        <v>2.5000000000000001E-2</v>
      </c>
      <c r="F47" s="1" t="s">
        <v>2116</v>
      </c>
    </row>
    <row r="49" spans="1:8" x14ac:dyDescent="0.2">
      <c r="A49" s="1" t="s">
        <v>2118</v>
      </c>
    </row>
    <row r="50" spans="1:8" x14ac:dyDescent="0.2">
      <c r="A50" s="1" t="s">
        <v>2117</v>
      </c>
    </row>
    <row r="52" spans="1:8" x14ac:dyDescent="0.2">
      <c r="F52" s="262">
        <f>5*4</f>
        <v>20</v>
      </c>
      <c r="G52" s="262" t="s">
        <v>62</v>
      </c>
      <c r="H52" s="262"/>
    </row>
    <row r="53" spans="1:8" x14ac:dyDescent="0.2">
      <c r="F53" s="270">
        <f>(1+10.381%)^0.25-1</f>
        <v>2.499932894117296E-2</v>
      </c>
      <c r="G53" s="262" t="s">
        <v>63</v>
      </c>
      <c r="H53" s="262"/>
    </row>
    <row r="54" spans="1:8" x14ac:dyDescent="0.2">
      <c r="F54" s="269">
        <f>PV(F53,F52,F55,F56)</f>
        <v>-100.00104613112713</v>
      </c>
      <c r="G54" s="262" t="s">
        <v>64</v>
      </c>
      <c r="H54" s="262" t="s">
        <v>227</v>
      </c>
    </row>
    <row r="55" spans="1:8" x14ac:dyDescent="0.2">
      <c r="F55" s="262">
        <f>2.5%*100</f>
        <v>2.5</v>
      </c>
      <c r="G55" s="262" t="s">
        <v>65</v>
      </c>
      <c r="H55" s="262"/>
    </row>
    <row r="56" spans="1:8" x14ac:dyDescent="0.2">
      <c r="F56" s="262">
        <v>100</v>
      </c>
      <c r="G56" s="262" t="s">
        <v>66</v>
      </c>
      <c r="H56" s="262"/>
    </row>
    <row r="65" spans="1:8" x14ac:dyDescent="0.2">
      <c r="A65" s="1" t="s">
        <v>2119</v>
      </c>
      <c r="F65" s="262">
        <f>15*4</f>
        <v>60</v>
      </c>
      <c r="G65" s="262" t="s">
        <v>62</v>
      </c>
      <c r="H65" s="262"/>
    </row>
    <row r="66" spans="1:8" x14ac:dyDescent="0.2">
      <c r="A66" s="1" t="s">
        <v>2120</v>
      </c>
      <c r="F66" s="270">
        <f>(1+15%)^(1/4)-1</f>
        <v>3.5558076341622114E-2</v>
      </c>
      <c r="G66" s="262" t="s">
        <v>63</v>
      </c>
      <c r="H66" s="262"/>
    </row>
    <row r="67" spans="1:8" x14ac:dyDescent="0.2">
      <c r="F67" s="269">
        <f>PV(F66,F65,F68,F69)</f>
        <v>-86.289979907658548</v>
      </c>
      <c r="G67" s="262" t="s">
        <v>64</v>
      </c>
      <c r="H67" s="262" t="s">
        <v>227</v>
      </c>
    </row>
    <row r="68" spans="1:8" x14ac:dyDescent="0.2">
      <c r="A68" s="1" t="s">
        <v>2121</v>
      </c>
      <c r="F68" s="262">
        <f>12%/4*100</f>
        <v>3</v>
      </c>
      <c r="G68" s="262" t="s">
        <v>65</v>
      </c>
      <c r="H68" s="262"/>
    </row>
    <row r="69" spans="1:8" x14ac:dyDescent="0.2">
      <c r="A69" s="1" t="s">
        <v>656</v>
      </c>
      <c r="F69" s="262">
        <v>100</v>
      </c>
      <c r="G69" s="262" t="s">
        <v>66</v>
      </c>
      <c r="H69" s="262"/>
    </row>
    <row r="82" spans="1:8" x14ac:dyDescent="0.2">
      <c r="A82" s="1" t="s">
        <v>146</v>
      </c>
    </row>
    <row r="84" spans="1:8" x14ac:dyDescent="0.2">
      <c r="A84" s="1" t="s">
        <v>2122</v>
      </c>
    </row>
    <row r="85" spans="1:8" x14ac:dyDescent="0.2">
      <c r="B85" s="1" t="s">
        <v>2123</v>
      </c>
      <c r="E85" s="1" t="s">
        <v>2125</v>
      </c>
    </row>
    <row r="86" spans="1:8" x14ac:dyDescent="0.2">
      <c r="B86" s="1" t="s">
        <v>2124</v>
      </c>
      <c r="E86" s="1" t="s">
        <v>2126</v>
      </c>
    </row>
    <row r="87" spans="1:8" x14ac:dyDescent="0.2">
      <c r="B87" s="1" t="s">
        <v>850</v>
      </c>
      <c r="E87" s="1" t="s">
        <v>2127</v>
      </c>
    </row>
    <row r="90" spans="1:8" x14ac:dyDescent="0.2">
      <c r="A90" s="1" t="s">
        <v>2128</v>
      </c>
    </row>
    <row r="91" spans="1:8" x14ac:dyDescent="0.2">
      <c r="A91" s="1" t="s">
        <v>2129</v>
      </c>
    </row>
    <row r="92" spans="1:8" x14ac:dyDescent="0.2">
      <c r="A92" s="1" t="s">
        <v>2130</v>
      </c>
    </row>
    <row r="93" spans="1:8" x14ac:dyDescent="0.2">
      <c r="A93" s="1" t="s">
        <v>2131</v>
      </c>
    </row>
    <row r="94" spans="1:8" x14ac:dyDescent="0.2">
      <c r="H94" s="1" t="s">
        <v>2132</v>
      </c>
    </row>
    <row r="95" spans="1:8" x14ac:dyDescent="0.2">
      <c r="A95" s="1" t="s">
        <v>2140</v>
      </c>
      <c r="C95" s="473">
        <f>(1+20%/4)^4-1</f>
        <v>0.21550625000000001</v>
      </c>
      <c r="H95" s="1" t="s">
        <v>2133</v>
      </c>
    </row>
    <row r="96" spans="1:8" x14ac:dyDescent="0.2">
      <c r="A96" s="1" t="s">
        <v>2141</v>
      </c>
      <c r="C96" s="473"/>
      <c r="H96" s="1" t="s">
        <v>2134</v>
      </c>
    </row>
    <row r="97" spans="1:8" x14ac:dyDescent="0.2">
      <c r="H97" s="1" t="s">
        <v>2135</v>
      </c>
    </row>
    <row r="98" spans="1:8" x14ac:dyDescent="0.2">
      <c r="A98" s="1" t="s">
        <v>2142</v>
      </c>
      <c r="H98" s="1" t="s">
        <v>2136</v>
      </c>
    </row>
    <row r="99" spans="1:8" x14ac:dyDescent="0.2">
      <c r="H99" s="1" t="s">
        <v>2137</v>
      </c>
    </row>
    <row r="100" spans="1:8" x14ac:dyDescent="0.2">
      <c r="A100" s="1" t="s">
        <v>2143</v>
      </c>
      <c r="H100" s="1" t="s">
        <v>2138</v>
      </c>
    </row>
    <row r="101" spans="1:8" x14ac:dyDescent="0.2">
      <c r="H101" s="1" t="s">
        <v>2139</v>
      </c>
    </row>
    <row r="103" spans="1:8" x14ac:dyDescent="0.2">
      <c r="A103" s="1" t="s">
        <v>2144</v>
      </c>
    </row>
    <row r="104" spans="1:8" x14ac:dyDescent="0.2">
      <c r="A104" s="1" t="s">
        <v>2145</v>
      </c>
      <c r="C104" s="234">
        <f>1.215506/1.15-1</f>
        <v>5.6961739130434896E-2</v>
      </c>
    </row>
    <row r="124" spans="1:1" x14ac:dyDescent="0.2">
      <c r="A124" s="1" t="s">
        <v>146</v>
      </c>
    </row>
    <row r="126" spans="1:1" x14ac:dyDescent="0.2">
      <c r="A126" s="1" t="s">
        <v>2146</v>
      </c>
    </row>
    <row r="127" spans="1:1" x14ac:dyDescent="0.2">
      <c r="A127" s="1" t="s">
        <v>2147</v>
      </c>
    </row>
    <row r="129" spans="1:9" x14ac:dyDescent="0.2">
      <c r="A129" s="1" t="s">
        <v>2148</v>
      </c>
      <c r="G129" s="1">
        <f>3*12</f>
        <v>36</v>
      </c>
      <c r="H129" s="1" t="s">
        <v>62</v>
      </c>
    </row>
    <row r="130" spans="1:9" x14ac:dyDescent="0.2">
      <c r="A130" s="1" t="s">
        <v>2149</v>
      </c>
      <c r="G130" s="271">
        <f>(1+8%)^(1/12)-1</f>
        <v>6.4340301100034303E-3</v>
      </c>
      <c r="H130" s="1" t="s">
        <v>63</v>
      </c>
    </row>
    <row r="131" spans="1:9" x14ac:dyDescent="0.2">
      <c r="A131" s="1" t="s">
        <v>2150</v>
      </c>
      <c r="G131" s="1">
        <v>20000</v>
      </c>
      <c r="H131" s="1" t="s">
        <v>64</v>
      </c>
    </row>
    <row r="132" spans="1:9" x14ac:dyDescent="0.2">
      <c r="A132" s="1" t="s">
        <v>2152</v>
      </c>
      <c r="G132" s="90">
        <f>PMT(G130,G129,G131,G133)</f>
        <v>-624.15482826613083</v>
      </c>
      <c r="H132" s="1" t="s">
        <v>65</v>
      </c>
      <c r="I132" s="1" t="s">
        <v>77</v>
      </c>
    </row>
    <row r="133" spans="1:9" x14ac:dyDescent="0.2">
      <c r="A133" s="1" t="s">
        <v>2151</v>
      </c>
      <c r="G133" s="1">
        <v>0</v>
      </c>
      <c r="H133" s="1" t="s">
        <v>66</v>
      </c>
    </row>
    <row r="135" spans="1:9" x14ac:dyDescent="0.2">
      <c r="A135" s="1" t="s">
        <v>2153</v>
      </c>
    </row>
    <row r="136" spans="1:9" x14ac:dyDescent="0.2">
      <c r="A136" s="1" t="s">
        <v>2155</v>
      </c>
      <c r="E136" s="272">
        <f>-G132*118/112</f>
        <v>657.59169406610204</v>
      </c>
      <c r="G136" s="1" t="s">
        <v>2154</v>
      </c>
    </row>
    <row r="152" spans="1:5" x14ac:dyDescent="0.2">
      <c r="A152" s="1" t="s">
        <v>146</v>
      </c>
    </row>
    <row r="154" spans="1:5" x14ac:dyDescent="0.2">
      <c r="A154" s="1" t="s">
        <v>2156</v>
      </c>
    </row>
    <row r="155" spans="1:5" x14ac:dyDescent="0.2">
      <c r="A155" s="1" t="s">
        <v>2157</v>
      </c>
    </row>
    <row r="156" spans="1:5" x14ac:dyDescent="0.2">
      <c r="A156" s="1" t="s">
        <v>2158</v>
      </c>
    </row>
    <row r="158" spans="1:5" x14ac:dyDescent="0.2">
      <c r="B158" s="1" t="s">
        <v>99</v>
      </c>
      <c r="E158" s="474">
        <f>(1+18%/4)^4-1</f>
        <v>0.19251860062499948</v>
      </c>
    </row>
    <row r="159" spans="1:5" x14ac:dyDescent="0.2">
      <c r="E159" s="474"/>
    </row>
    <row r="173" spans="1:1" x14ac:dyDescent="0.2">
      <c r="A173" s="1" t="s">
        <v>146</v>
      </c>
    </row>
    <row r="177" spans="1:3" x14ac:dyDescent="0.2">
      <c r="A177" s="1" t="s">
        <v>2159</v>
      </c>
      <c r="C177" s="1" t="s">
        <v>2160</v>
      </c>
    </row>
  </sheetData>
  <mergeCells count="2">
    <mergeCell ref="C95:C96"/>
    <mergeCell ref="E158:E159"/>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17A6E-6F10-C54B-BF75-D965592584E4}">
  <dimension ref="A1:P508"/>
  <sheetViews>
    <sheetView rightToLeft="1" topLeftCell="A373" zoomScale="285" zoomScaleNormal="320" workbookViewId="0">
      <selection activeCell="A419" sqref="A419:E431"/>
    </sheetView>
  </sheetViews>
  <sheetFormatPr baseColWidth="10" defaultRowHeight="16" x14ac:dyDescent="0.2"/>
  <cols>
    <col min="1" max="3" width="10.83203125" style="1"/>
    <col min="4" max="4" width="12.1640625" style="1" customWidth="1"/>
    <col min="5" max="5" width="10.83203125" style="1"/>
    <col min="6" max="6" width="11.6640625" style="1" bestFit="1" customWidth="1"/>
    <col min="7" max="16384" width="10.83203125" style="1"/>
  </cols>
  <sheetData>
    <row r="1" spans="1:9" x14ac:dyDescent="0.2">
      <c r="A1" s="477" t="s">
        <v>2161</v>
      </c>
      <c r="B1" s="477"/>
      <c r="C1" s="477"/>
      <c r="D1" s="477"/>
      <c r="E1" s="477"/>
      <c r="F1" s="477"/>
      <c r="G1" s="477"/>
      <c r="H1" s="477"/>
    </row>
    <row r="3" spans="1:9" x14ac:dyDescent="0.2">
      <c r="A3" s="2" t="s">
        <v>191</v>
      </c>
      <c r="B3" s="2"/>
      <c r="C3" s="2"/>
      <c r="D3" s="2"/>
      <c r="E3" s="2"/>
      <c r="F3" s="2"/>
      <c r="G3" s="2"/>
      <c r="H3" s="2"/>
    </row>
    <row r="4" spans="1:9" x14ac:dyDescent="0.2">
      <c r="A4" s="1" t="s">
        <v>866</v>
      </c>
    </row>
    <row r="5" spans="1:9" x14ac:dyDescent="0.2">
      <c r="A5" s="1" t="s">
        <v>856</v>
      </c>
      <c r="I5" s="6" t="s">
        <v>2162</v>
      </c>
    </row>
    <row r="6" spans="1:9" x14ac:dyDescent="0.2">
      <c r="A6" s="1" t="s">
        <v>855</v>
      </c>
      <c r="I6" s="6" t="s">
        <v>2163</v>
      </c>
    </row>
    <row r="7" spans="1:9" x14ac:dyDescent="0.2">
      <c r="A7" s="1" t="s">
        <v>857</v>
      </c>
      <c r="I7" s="6" t="s">
        <v>1916</v>
      </c>
    </row>
    <row r="8" spans="1:9" x14ac:dyDescent="0.2">
      <c r="A8" s="1" t="s">
        <v>858</v>
      </c>
      <c r="I8" s="6" t="s">
        <v>2164</v>
      </c>
    </row>
    <row r="9" spans="1:9" x14ac:dyDescent="0.2">
      <c r="A9" s="1" t="s">
        <v>865</v>
      </c>
    </row>
    <row r="10" spans="1:9" x14ac:dyDescent="0.2">
      <c r="A10" s="1" t="s">
        <v>859</v>
      </c>
      <c r="I10" s="6" t="s">
        <v>2165</v>
      </c>
    </row>
    <row r="11" spans="1:9" x14ac:dyDescent="0.2">
      <c r="A11" s="1" t="s">
        <v>860</v>
      </c>
      <c r="I11" s="6" t="s">
        <v>2166</v>
      </c>
    </row>
    <row r="12" spans="1:9" x14ac:dyDescent="0.2">
      <c r="A12" s="1" t="s">
        <v>861</v>
      </c>
      <c r="I12" s="6" t="s">
        <v>2167</v>
      </c>
    </row>
    <row r="13" spans="1:9" x14ac:dyDescent="0.2">
      <c r="A13" s="1" t="s">
        <v>862</v>
      </c>
      <c r="I13" s="6" t="s">
        <v>2168</v>
      </c>
    </row>
    <row r="14" spans="1:9" x14ac:dyDescent="0.2">
      <c r="A14" s="1" t="s">
        <v>863</v>
      </c>
      <c r="I14" s="6" t="s">
        <v>2169</v>
      </c>
    </row>
    <row r="15" spans="1:9" x14ac:dyDescent="0.2">
      <c r="A15" s="1" t="s">
        <v>864</v>
      </c>
      <c r="I15" s="6" t="s">
        <v>2170</v>
      </c>
    </row>
    <row r="17" spans="1:9" x14ac:dyDescent="0.2">
      <c r="A17" s="2" t="s">
        <v>867</v>
      </c>
      <c r="B17" s="2"/>
      <c r="C17" s="2"/>
      <c r="D17" s="2"/>
      <c r="E17" s="2"/>
      <c r="F17" s="2"/>
      <c r="G17" s="2"/>
      <c r="H17" s="97">
        <v>5.2</v>
      </c>
    </row>
    <row r="19" spans="1:9" x14ac:dyDescent="0.2">
      <c r="A19" s="1" t="s">
        <v>868</v>
      </c>
      <c r="I19" s="1" t="s">
        <v>2171</v>
      </c>
    </row>
    <row r="20" spans="1:9" x14ac:dyDescent="0.2">
      <c r="A20" s="1" t="s">
        <v>869</v>
      </c>
      <c r="I20" s="1" t="s">
        <v>2172</v>
      </c>
    </row>
    <row r="21" spans="1:9" x14ac:dyDescent="0.2">
      <c r="I21" s="1" t="s">
        <v>2173</v>
      </c>
    </row>
    <row r="22" spans="1:9" ht="34" x14ac:dyDescent="0.2">
      <c r="A22" s="27" t="s">
        <v>875</v>
      </c>
      <c r="B22" s="27" t="s">
        <v>872</v>
      </c>
      <c r="C22" s="27" t="s">
        <v>874</v>
      </c>
      <c r="D22" s="96" t="s">
        <v>1061</v>
      </c>
      <c r="I22" s="273" t="s">
        <v>2174</v>
      </c>
    </row>
    <row r="23" spans="1:9" x14ac:dyDescent="0.2">
      <c r="A23" s="20" t="s">
        <v>870</v>
      </c>
      <c r="B23" s="20" t="s">
        <v>695</v>
      </c>
      <c r="C23" s="24">
        <v>10000</v>
      </c>
      <c r="D23" s="24">
        <v>2606</v>
      </c>
      <c r="I23" s="1" t="s">
        <v>2175</v>
      </c>
    </row>
    <row r="24" spans="1:9" x14ac:dyDescent="0.2">
      <c r="A24" s="20" t="s">
        <v>871</v>
      </c>
      <c r="B24" s="20" t="s">
        <v>873</v>
      </c>
      <c r="C24" s="24">
        <v>30000</v>
      </c>
      <c r="D24" s="24">
        <v>6515</v>
      </c>
      <c r="I24" s="1" t="s">
        <v>2176</v>
      </c>
    </row>
    <row r="25" spans="1:9" x14ac:dyDescent="0.2">
      <c r="I25" s="1" t="s">
        <v>2177</v>
      </c>
    </row>
    <row r="26" spans="1:9" x14ac:dyDescent="0.2">
      <c r="A26" s="1" t="s">
        <v>568</v>
      </c>
    </row>
    <row r="27" spans="1:9" x14ac:dyDescent="0.2">
      <c r="A27" s="1" t="s">
        <v>2178</v>
      </c>
    </row>
    <row r="28" spans="1:9" x14ac:dyDescent="0.2">
      <c r="A28" s="1" t="s">
        <v>1035</v>
      </c>
    </row>
    <row r="29" spans="1:9" x14ac:dyDescent="0.2">
      <c r="A29" s="1" t="s">
        <v>876</v>
      </c>
    </row>
    <row r="30" spans="1:9" x14ac:dyDescent="0.2">
      <c r="A30" s="1" t="s">
        <v>877</v>
      </c>
    </row>
    <row r="31" spans="1:9" x14ac:dyDescent="0.2">
      <c r="A31" s="1" t="s">
        <v>878</v>
      </c>
    </row>
    <row r="32" spans="1:9" x14ac:dyDescent="0.2">
      <c r="A32" s="1" t="s">
        <v>879</v>
      </c>
    </row>
    <row r="33" spans="1:8" x14ac:dyDescent="0.2">
      <c r="A33" s="1" t="s">
        <v>880</v>
      </c>
    </row>
    <row r="35" spans="1:8" x14ac:dyDescent="0.2">
      <c r="A35" s="1" t="s">
        <v>146</v>
      </c>
    </row>
    <row r="36" spans="1:8" ht="17" thickBot="1" x14ac:dyDescent="0.25"/>
    <row r="37" spans="1:8" ht="17" thickBot="1" x14ac:dyDescent="0.25">
      <c r="A37" s="60" t="s">
        <v>1017</v>
      </c>
      <c r="B37" s="8"/>
      <c r="C37" s="8"/>
      <c r="D37" s="8"/>
      <c r="E37" s="8"/>
      <c r="F37" s="8"/>
      <c r="G37" s="8"/>
      <c r="H37" s="9"/>
    </row>
    <row r="39" spans="1:8" x14ac:dyDescent="0.2">
      <c r="A39" s="1" t="s">
        <v>1009</v>
      </c>
    </row>
    <row r="40" spans="1:8" x14ac:dyDescent="0.2">
      <c r="A40" s="1" t="s">
        <v>1010</v>
      </c>
    </row>
    <row r="41" spans="1:8" x14ac:dyDescent="0.2">
      <c r="A41" s="1" t="s">
        <v>1011</v>
      </c>
    </row>
    <row r="42" spans="1:8" x14ac:dyDescent="0.2">
      <c r="A42" s="1" t="s">
        <v>1012</v>
      </c>
    </row>
    <row r="44" spans="1:8" x14ac:dyDescent="0.2">
      <c r="A44" s="1" t="s">
        <v>1013</v>
      </c>
    </row>
    <row r="45" spans="1:8" x14ac:dyDescent="0.2">
      <c r="A45" s="1" t="s">
        <v>1014</v>
      </c>
    </row>
    <row r="46" spans="1:8" x14ac:dyDescent="0.2">
      <c r="A46" s="1" t="s">
        <v>1015</v>
      </c>
    </row>
    <row r="48" spans="1:8" x14ac:dyDescent="0.2">
      <c r="A48" s="1" t="s">
        <v>1018</v>
      </c>
    </row>
    <row r="49" spans="1:13" x14ac:dyDescent="0.2">
      <c r="A49" s="1" t="s">
        <v>1016</v>
      </c>
    </row>
    <row r="51" spans="1:13" x14ac:dyDescent="0.2">
      <c r="A51" s="1" t="s">
        <v>1019</v>
      </c>
    </row>
    <row r="52" spans="1:13" x14ac:dyDescent="0.2">
      <c r="G52" s="21" t="s">
        <v>84</v>
      </c>
    </row>
    <row r="53" spans="1:13" x14ac:dyDescent="0.2">
      <c r="A53" s="1" t="s">
        <v>1020</v>
      </c>
      <c r="G53" s="1" t="s">
        <v>63</v>
      </c>
      <c r="H53" s="1" t="s">
        <v>2179</v>
      </c>
    </row>
    <row r="55" spans="1:13" x14ac:dyDescent="0.2">
      <c r="C55" s="48" t="s">
        <v>87</v>
      </c>
      <c r="D55" s="20" t="s">
        <v>87</v>
      </c>
      <c r="G55" s="1" t="s">
        <v>2181</v>
      </c>
      <c r="H55" s="1" t="s">
        <v>2180</v>
      </c>
      <c r="L55" s="20"/>
      <c r="M55" s="20"/>
    </row>
    <row r="56" spans="1:13" x14ac:dyDescent="0.2">
      <c r="C56" s="48" t="s">
        <v>2186</v>
      </c>
      <c r="D56" s="20" t="s">
        <v>2185</v>
      </c>
      <c r="L56" s="24"/>
      <c r="M56" s="24"/>
    </row>
    <row r="57" spans="1:13" x14ac:dyDescent="0.2">
      <c r="C57" s="274">
        <f>-C24</f>
        <v>-30000</v>
      </c>
      <c r="D57" s="274">
        <f>-C23</f>
        <v>-10000</v>
      </c>
      <c r="E57" s="1">
        <v>1</v>
      </c>
      <c r="L57" s="24"/>
      <c r="M57" s="24"/>
    </row>
    <row r="58" spans="1:13" x14ac:dyDescent="0.2">
      <c r="C58" s="274">
        <f>D24</f>
        <v>6515</v>
      </c>
      <c r="D58" s="274">
        <f>D23</f>
        <v>2606</v>
      </c>
      <c r="E58" s="1">
        <v>2</v>
      </c>
      <c r="F58" s="1" t="s">
        <v>2182</v>
      </c>
      <c r="G58" s="21" t="s">
        <v>89</v>
      </c>
      <c r="H58" s="20" t="s">
        <v>368</v>
      </c>
      <c r="L58" s="24"/>
      <c r="M58" s="24"/>
    </row>
    <row r="59" spans="1:13" x14ac:dyDescent="0.2">
      <c r="C59" s="274">
        <f>C58</f>
        <v>6515</v>
      </c>
      <c r="D59" s="274">
        <f>D58</f>
        <v>2606</v>
      </c>
      <c r="E59" s="1">
        <v>3</v>
      </c>
      <c r="L59" s="24"/>
      <c r="M59" s="24"/>
    </row>
    <row r="60" spans="1:13" x14ac:dyDescent="0.2">
      <c r="C60" s="274">
        <f t="shared" ref="C60:C64" si="0">C59</f>
        <v>6515</v>
      </c>
      <c r="D60" s="274">
        <f t="shared" ref="D60:D64" si="1">D59</f>
        <v>2606</v>
      </c>
      <c r="E60" s="1">
        <v>4</v>
      </c>
      <c r="H60" s="276">
        <f>IRR(D57:D64)</f>
        <v>0.17763328083126506</v>
      </c>
      <c r="J60" s="1" t="s">
        <v>2183</v>
      </c>
      <c r="L60" s="24"/>
      <c r="M60" s="24"/>
    </row>
    <row r="61" spans="1:13" x14ac:dyDescent="0.2">
      <c r="C61" s="274">
        <f t="shared" si="0"/>
        <v>6515</v>
      </c>
      <c r="D61" s="274">
        <f t="shared" si="1"/>
        <v>2606</v>
      </c>
      <c r="E61" s="1">
        <v>5</v>
      </c>
      <c r="H61" s="278">
        <f>IRR(C57:C64)</f>
        <v>0.11718677399898092</v>
      </c>
      <c r="J61" s="1" t="s">
        <v>2184</v>
      </c>
      <c r="L61" s="24"/>
      <c r="M61" s="24"/>
    </row>
    <row r="62" spans="1:13" x14ac:dyDescent="0.2">
      <c r="C62" s="274">
        <f t="shared" si="0"/>
        <v>6515</v>
      </c>
      <c r="D62" s="274">
        <f t="shared" si="1"/>
        <v>2606</v>
      </c>
      <c r="E62" s="1">
        <v>6</v>
      </c>
      <c r="L62" s="24"/>
      <c r="M62" s="24"/>
    </row>
    <row r="63" spans="1:13" x14ac:dyDescent="0.2">
      <c r="C63" s="274">
        <f t="shared" si="0"/>
        <v>6515</v>
      </c>
      <c r="D63" s="274">
        <f t="shared" si="1"/>
        <v>2606</v>
      </c>
      <c r="E63" s="1">
        <v>7</v>
      </c>
      <c r="L63" s="24"/>
      <c r="M63" s="24"/>
    </row>
    <row r="64" spans="1:13" x14ac:dyDescent="0.2">
      <c r="C64" s="274">
        <f t="shared" si="0"/>
        <v>6515</v>
      </c>
      <c r="D64" s="274">
        <f t="shared" si="1"/>
        <v>2606</v>
      </c>
      <c r="E64" s="1">
        <v>8</v>
      </c>
    </row>
    <row r="65" spans="1:8" ht="17" thickBot="1" x14ac:dyDescent="0.25"/>
    <row r="66" spans="1:8" x14ac:dyDescent="0.2">
      <c r="B66" s="12" t="s">
        <v>1028</v>
      </c>
      <c r="C66" s="13"/>
      <c r="D66" s="13"/>
      <c r="E66" s="13"/>
      <c r="F66" s="121">
        <f>IRR(D57:D64)</f>
        <v>0.17763328083126506</v>
      </c>
      <c r="G66" s="122" t="s">
        <v>1026</v>
      </c>
    </row>
    <row r="67" spans="1:8" ht="17" thickBot="1" x14ac:dyDescent="0.25">
      <c r="B67" s="15"/>
      <c r="C67" s="16"/>
      <c r="D67" s="16"/>
      <c r="E67" s="16"/>
      <c r="F67" s="123">
        <f>IRR(C57:C64)</f>
        <v>0.11718677399898092</v>
      </c>
      <c r="G67" s="124" t="s">
        <v>1027</v>
      </c>
    </row>
    <row r="69" spans="1:8" x14ac:dyDescent="0.2">
      <c r="A69" s="1" t="s">
        <v>834</v>
      </c>
      <c r="B69" s="1" t="s">
        <v>1024</v>
      </c>
    </row>
    <row r="70" spans="1:8" x14ac:dyDescent="0.2">
      <c r="B70" s="1" t="s">
        <v>1025</v>
      </c>
    </row>
    <row r="71" spans="1:8" ht="17" thickBot="1" x14ac:dyDescent="0.25"/>
    <row r="72" spans="1:8" ht="17" thickBot="1" x14ac:dyDescent="0.25">
      <c r="A72" s="60" t="s">
        <v>1037</v>
      </c>
      <c r="B72" s="8"/>
      <c r="C72" s="8"/>
      <c r="D72" s="8"/>
      <c r="E72" s="8"/>
      <c r="F72" s="8"/>
      <c r="G72" s="8"/>
      <c r="H72" s="9"/>
    </row>
    <row r="74" spans="1:8" x14ac:dyDescent="0.2">
      <c r="A74" s="1" t="s">
        <v>1029</v>
      </c>
    </row>
    <row r="75" spans="1:8" x14ac:dyDescent="0.2">
      <c r="A75" s="1" t="s">
        <v>1030</v>
      </c>
    </row>
    <row r="77" spans="1:8" x14ac:dyDescent="0.2">
      <c r="A77" s="1" t="s">
        <v>1031</v>
      </c>
    </row>
    <row r="78" spans="1:8" x14ac:dyDescent="0.2">
      <c r="A78" s="1" t="s">
        <v>1032</v>
      </c>
    </row>
    <row r="79" spans="1:8" x14ac:dyDescent="0.2">
      <c r="F79" s="1" t="s">
        <v>2189</v>
      </c>
    </row>
    <row r="80" spans="1:8" x14ac:dyDescent="0.2">
      <c r="A80" s="1" t="s">
        <v>1019</v>
      </c>
    </row>
    <row r="81" spans="1:8" x14ac:dyDescent="0.2">
      <c r="G81" s="35" t="s">
        <v>84</v>
      </c>
    </row>
    <row r="82" spans="1:8" x14ac:dyDescent="0.2">
      <c r="A82" s="1" t="s">
        <v>2187</v>
      </c>
      <c r="F82" s="20">
        <v>6</v>
      </c>
      <c r="G82" s="1" t="s">
        <v>63</v>
      </c>
    </row>
    <row r="83" spans="1:8" x14ac:dyDescent="0.2">
      <c r="A83" s="1" t="s">
        <v>2188</v>
      </c>
    </row>
    <row r="85" spans="1:8" x14ac:dyDescent="0.2">
      <c r="C85" s="20" t="s">
        <v>87</v>
      </c>
      <c r="D85" s="20" t="s">
        <v>87</v>
      </c>
      <c r="G85" s="1" t="s">
        <v>2191</v>
      </c>
      <c r="H85" s="1" t="s">
        <v>2190</v>
      </c>
    </row>
    <row r="86" spans="1:8" x14ac:dyDescent="0.2">
      <c r="C86" s="20" t="s">
        <v>1023</v>
      </c>
      <c r="D86" s="20" t="s">
        <v>1022</v>
      </c>
    </row>
    <row r="87" spans="1:8" x14ac:dyDescent="0.2">
      <c r="C87" s="120">
        <f t="shared" ref="C87:D94" si="2">C57</f>
        <v>-30000</v>
      </c>
      <c r="D87" s="120">
        <f t="shared" si="2"/>
        <v>-10000</v>
      </c>
      <c r="E87" s="1">
        <v>1</v>
      </c>
    </row>
    <row r="88" spans="1:8" x14ac:dyDescent="0.2">
      <c r="C88" s="120">
        <f t="shared" si="2"/>
        <v>6515</v>
      </c>
      <c r="D88" s="120">
        <f t="shared" si="2"/>
        <v>2606</v>
      </c>
      <c r="E88" s="1">
        <v>2</v>
      </c>
    </row>
    <row r="89" spans="1:8" x14ac:dyDescent="0.2">
      <c r="C89" s="120">
        <f t="shared" si="2"/>
        <v>6515</v>
      </c>
      <c r="D89" s="120">
        <f t="shared" si="2"/>
        <v>2606</v>
      </c>
      <c r="E89" s="1">
        <v>3</v>
      </c>
    </row>
    <row r="90" spans="1:8" x14ac:dyDescent="0.2">
      <c r="C90" s="120">
        <f t="shared" si="2"/>
        <v>6515</v>
      </c>
      <c r="D90" s="120">
        <f t="shared" si="2"/>
        <v>2606</v>
      </c>
      <c r="E90" s="1">
        <v>4</v>
      </c>
    </row>
    <row r="91" spans="1:8" x14ac:dyDescent="0.2">
      <c r="C91" s="120">
        <f t="shared" si="2"/>
        <v>6515</v>
      </c>
      <c r="D91" s="120">
        <f t="shared" si="2"/>
        <v>2606</v>
      </c>
      <c r="E91" s="1">
        <v>5</v>
      </c>
    </row>
    <row r="92" spans="1:8" x14ac:dyDescent="0.2">
      <c r="C92" s="120">
        <f t="shared" si="2"/>
        <v>6515</v>
      </c>
      <c r="D92" s="120">
        <f t="shared" si="2"/>
        <v>2606</v>
      </c>
      <c r="E92" s="1">
        <v>6</v>
      </c>
    </row>
    <row r="93" spans="1:8" x14ac:dyDescent="0.2">
      <c r="C93" s="120">
        <f t="shared" si="2"/>
        <v>6515</v>
      </c>
      <c r="D93" s="120">
        <f t="shared" si="2"/>
        <v>2606</v>
      </c>
      <c r="E93" s="1">
        <v>7</v>
      </c>
    </row>
    <row r="94" spans="1:8" x14ac:dyDescent="0.2">
      <c r="C94" s="120">
        <f t="shared" si="2"/>
        <v>6515</v>
      </c>
      <c r="D94" s="120">
        <f t="shared" si="2"/>
        <v>2606</v>
      </c>
      <c r="E94" s="1">
        <v>8</v>
      </c>
    </row>
    <row r="95" spans="1:8" ht="17" thickBot="1" x14ac:dyDescent="0.25"/>
    <row r="96" spans="1:8" x14ac:dyDescent="0.2">
      <c r="B96" s="12" t="s">
        <v>1036</v>
      </c>
      <c r="C96" s="13"/>
      <c r="D96" s="13"/>
      <c r="E96" s="13"/>
      <c r="F96" s="125">
        <f>NPV(F82/100,D88:D94)+D87</f>
        <v>4547.686031669853</v>
      </c>
      <c r="G96" s="122" t="s">
        <v>1033</v>
      </c>
      <c r="H96" s="1" t="s">
        <v>227</v>
      </c>
    </row>
    <row r="97" spans="1:8" ht="17" thickBot="1" x14ac:dyDescent="0.25">
      <c r="B97" s="15"/>
      <c r="C97" s="16"/>
      <c r="D97" s="16"/>
      <c r="E97" s="16"/>
      <c r="F97" s="126">
        <f>NPV(F82/100,C88:C94)+C87</f>
        <v>6369.2150791746317</v>
      </c>
      <c r="G97" s="124" t="s">
        <v>1034</v>
      </c>
      <c r="H97" s="1" t="s">
        <v>227</v>
      </c>
    </row>
    <row r="98" spans="1:8" ht="17" thickBot="1" x14ac:dyDescent="0.25"/>
    <row r="99" spans="1:8" ht="17" thickBot="1" x14ac:dyDescent="0.25">
      <c r="A99" s="60" t="s">
        <v>876</v>
      </c>
      <c r="B99" s="61"/>
      <c r="C99" s="61"/>
      <c r="D99" s="61"/>
      <c r="E99" s="61"/>
      <c r="F99" s="61"/>
      <c r="G99" s="61"/>
      <c r="H99" s="127"/>
    </row>
    <row r="101" spans="1:8" x14ac:dyDescent="0.2">
      <c r="A101" s="1" t="s">
        <v>1038</v>
      </c>
    </row>
    <row r="102" spans="1:8" x14ac:dyDescent="0.2">
      <c r="C102" s="128" t="s">
        <v>1044</v>
      </c>
      <c r="D102" s="128" t="s">
        <v>1022</v>
      </c>
      <c r="E102" s="128" t="s">
        <v>1023</v>
      </c>
      <c r="F102" s="281" t="s">
        <v>1041</v>
      </c>
      <c r="G102" s="281"/>
    </row>
    <row r="103" spans="1:8" x14ac:dyDescent="0.2">
      <c r="C103" s="128" t="s">
        <v>1040</v>
      </c>
      <c r="D103" s="279">
        <f>F66</f>
        <v>0.17763328083126506</v>
      </c>
      <c r="E103" s="129">
        <f>F67</f>
        <v>0.11718677399898092</v>
      </c>
      <c r="F103" s="281" t="s">
        <v>1022</v>
      </c>
      <c r="G103" s="281" t="s">
        <v>1042</v>
      </c>
    </row>
    <row r="104" spans="1:8" x14ac:dyDescent="0.2">
      <c r="C104" s="128" t="s">
        <v>1039</v>
      </c>
      <c r="D104" s="130">
        <f>F96</f>
        <v>4547.686031669853</v>
      </c>
      <c r="E104" s="280">
        <f>F97</f>
        <v>6369.2150791746317</v>
      </c>
      <c r="F104" s="281" t="s">
        <v>1023</v>
      </c>
      <c r="G104" s="281" t="s">
        <v>1043</v>
      </c>
    </row>
    <row r="105" spans="1:8" ht="17" thickBot="1" x14ac:dyDescent="0.25"/>
    <row r="106" spans="1:8" ht="17" thickBot="1" x14ac:dyDescent="0.25">
      <c r="A106" s="60" t="s">
        <v>877</v>
      </c>
      <c r="B106" s="8"/>
      <c r="C106" s="8"/>
      <c r="D106" s="8"/>
      <c r="E106" s="8"/>
      <c r="F106" s="8"/>
      <c r="G106" s="8"/>
      <c r="H106" s="9"/>
    </row>
    <row r="108" spans="1:8" x14ac:dyDescent="0.2">
      <c r="A108" s="1" t="s">
        <v>1045</v>
      </c>
    </row>
    <row r="109" spans="1:8" x14ac:dyDescent="0.2">
      <c r="A109" s="1" t="s">
        <v>1046</v>
      </c>
    </row>
    <row r="110" spans="1:8" ht="17" thickBot="1" x14ac:dyDescent="0.25"/>
    <row r="111" spans="1:8" ht="17" thickBot="1" x14ac:dyDescent="0.25">
      <c r="A111" s="60" t="s">
        <v>878</v>
      </c>
      <c r="B111" s="8"/>
      <c r="C111" s="8"/>
      <c r="D111" s="8"/>
      <c r="E111" s="8"/>
      <c r="F111" s="8"/>
      <c r="G111" s="8"/>
      <c r="H111" s="9"/>
    </row>
    <row r="113" spans="1:8" x14ac:dyDescent="0.2">
      <c r="A113" s="1" t="s">
        <v>1047</v>
      </c>
    </row>
    <row r="114" spans="1:8" x14ac:dyDescent="0.2">
      <c r="A114" s="1" t="s">
        <v>1048</v>
      </c>
    </row>
    <row r="115" spans="1:8" ht="17" thickBot="1" x14ac:dyDescent="0.25"/>
    <row r="116" spans="1:8" x14ac:dyDescent="0.2">
      <c r="A116" s="132" t="s">
        <v>879</v>
      </c>
      <c r="B116" s="13"/>
      <c r="C116" s="13"/>
      <c r="D116" s="13"/>
      <c r="E116" s="13"/>
      <c r="F116" s="13"/>
      <c r="G116" s="13"/>
      <c r="H116" s="14"/>
    </row>
    <row r="117" spans="1:8" ht="17" thickBot="1" x14ac:dyDescent="0.25">
      <c r="A117" s="133" t="s">
        <v>880</v>
      </c>
      <c r="B117" s="16"/>
      <c r="C117" s="16"/>
      <c r="D117" s="16"/>
      <c r="E117" s="16"/>
      <c r="F117" s="16"/>
      <c r="G117" s="16"/>
      <c r="H117" s="17"/>
    </row>
    <row r="119" spans="1:8" x14ac:dyDescent="0.2">
      <c r="A119" s="1" t="s">
        <v>1049</v>
      </c>
    </row>
    <row r="120" spans="1:8" x14ac:dyDescent="0.2">
      <c r="A120" s="1" t="s">
        <v>1050</v>
      </c>
    </row>
    <row r="122" spans="1:8" x14ac:dyDescent="0.2">
      <c r="A122" s="1" t="s">
        <v>1051</v>
      </c>
    </row>
    <row r="123" spans="1:8" x14ac:dyDescent="0.2">
      <c r="A123" s="1" t="s">
        <v>1052</v>
      </c>
    </row>
    <row r="124" spans="1:8" x14ac:dyDescent="0.2">
      <c r="A124" s="1" t="s">
        <v>1053</v>
      </c>
    </row>
    <row r="125" spans="1:8" x14ac:dyDescent="0.2">
      <c r="A125" s="1" t="s">
        <v>1054</v>
      </c>
    </row>
    <row r="127" spans="1:8" x14ac:dyDescent="0.2">
      <c r="A127" s="1" t="s">
        <v>1019</v>
      </c>
    </row>
    <row r="128" spans="1:8" x14ac:dyDescent="0.2">
      <c r="G128" s="1" t="s">
        <v>84</v>
      </c>
    </row>
    <row r="129" spans="1:16" x14ac:dyDescent="0.2">
      <c r="A129" s="1" t="s">
        <v>1020</v>
      </c>
      <c r="G129" s="1" t="s">
        <v>63</v>
      </c>
      <c r="P129" s="20" t="s">
        <v>2200</v>
      </c>
    </row>
    <row r="130" spans="1:16" x14ac:dyDescent="0.2">
      <c r="P130" s="20" t="s">
        <v>1039</v>
      </c>
    </row>
    <row r="131" spans="1:16" x14ac:dyDescent="0.2">
      <c r="B131" s="48" t="s">
        <v>1055</v>
      </c>
      <c r="C131" s="20" t="s">
        <v>87</v>
      </c>
      <c r="D131" s="20" t="s">
        <v>87</v>
      </c>
      <c r="G131" s="1" t="s">
        <v>1021</v>
      </c>
    </row>
    <row r="132" spans="1:16" x14ac:dyDescent="0.2">
      <c r="B132" s="48" t="s">
        <v>1056</v>
      </c>
      <c r="C132" s="20" t="s">
        <v>1023</v>
      </c>
      <c r="D132" s="20" t="s">
        <v>1022</v>
      </c>
    </row>
    <row r="133" spans="1:16" x14ac:dyDescent="0.2">
      <c r="B133" s="274">
        <f>C133-D133</f>
        <v>-20000</v>
      </c>
      <c r="C133" s="120">
        <f>C87</f>
        <v>-30000</v>
      </c>
      <c r="D133" s="120">
        <f>D87</f>
        <v>-10000</v>
      </c>
      <c r="E133" s="1">
        <v>1</v>
      </c>
      <c r="F133" s="1" t="s">
        <v>2203</v>
      </c>
    </row>
    <row r="134" spans="1:16" x14ac:dyDescent="0.2">
      <c r="B134" s="274">
        <f t="shared" ref="B134:B140" si="3">C134-D134</f>
        <v>3909</v>
      </c>
      <c r="C134" s="120">
        <f t="shared" ref="C134:C140" si="4">C88</f>
        <v>6515</v>
      </c>
      <c r="D134" s="120">
        <f t="shared" ref="D134:D140" si="5">D88</f>
        <v>2606</v>
      </c>
      <c r="E134" s="1">
        <v>2</v>
      </c>
      <c r="I134" s="3">
        <f>SUM(D133:D140)</f>
        <v>8242</v>
      </c>
      <c r="J134" s="1" t="s">
        <v>2192</v>
      </c>
    </row>
    <row r="135" spans="1:16" x14ac:dyDescent="0.2">
      <c r="B135" s="274">
        <f t="shared" si="3"/>
        <v>3909</v>
      </c>
      <c r="C135" s="120">
        <f t="shared" si="4"/>
        <v>6515</v>
      </c>
      <c r="D135" s="120">
        <f t="shared" si="5"/>
        <v>2606</v>
      </c>
      <c r="E135" s="1">
        <v>3</v>
      </c>
      <c r="I135" s="3">
        <f>SUM(C133:C140)</f>
        <v>15605</v>
      </c>
      <c r="J135" s="1" t="s">
        <v>2193</v>
      </c>
    </row>
    <row r="136" spans="1:16" x14ac:dyDescent="0.2">
      <c r="B136" s="274">
        <f t="shared" si="3"/>
        <v>3909</v>
      </c>
      <c r="C136" s="120">
        <f t="shared" si="4"/>
        <v>6515</v>
      </c>
      <c r="D136" s="120">
        <f t="shared" si="5"/>
        <v>2606</v>
      </c>
      <c r="E136" s="1">
        <v>4</v>
      </c>
      <c r="F136" s="1" t="s">
        <v>2194</v>
      </c>
      <c r="I136" s="277">
        <f>D103</f>
        <v>0.17763328083126506</v>
      </c>
      <c r="J136" s="1" t="s">
        <v>2195</v>
      </c>
      <c r="K136" s="18" t="s">
        <v>2202</v>
      </c>
    </row>
    <row r="137" spans="1:16" x14ac:dyDescent="0.2">
      <c r="B137" s="274">
        <f t="shared" si="3"/>
        <v>3909</v>
      </c>
      <c r="C137" s="120">
        <f t="shared" si="4"/>
        <v>6515</v>
      </c>
      <c r="D137" s="120">
        <f t="shared" si="5"/>
        <v>2606</v>
      </c>
      <c r="E137" s="1">
        <v>5</v>
      </c>
      <c r="I137" s="277">
        <f>E103</f>
        <v>0.11718677399898092</v>
      </c>
      <c r="J137" s="1" t="s">
        <v>2196</v>
      </c>
    </row>
    <row r="138" spans="1:16" x14ac:dyDescent="0.2">
      <c r="B138" s="274">
        <f t="shared" si="3"/>
        <v>3909</v>
      </c>
      <c r="C138" s="120">
        <f t="shared" si="4"/>
        <v>6515</v>
      </c>
      <c r="D138" s="120">
        <f t="shared" si="5"/>
        <v>2606</v>
      </c>
      <c r="E138" s="1">
        <v>6</v>
      </c>
      <c r="F138" s="1" t="s">
        <v>2197</v>
      </c>
      <c r="I138" s="3">
        <f>D133</f>
        <v>-10000</v>
      </c>
      <c r="J138" s="1" t="s">
        <v>2198</v>
      </c>
    </row>
    <row r="139" spans="1:16" x14ac:dyDescent="0.2">
      <c r="B139" s="274">
        <f t="shared" si="3"/>
        <v>3909</v>
      </c>
      <c r="C139" s="120">
        <f t="shared" si="4"/>
        <v>6515</v>
      </c>
      <c r="D139" s="120">
        <f t="shared" si="5"/>
        <v>2606</v>
      </c>
      <c r="E139" s="1">
        <v>7</v>
      </c>
      <c r="I139" s="3">
        <f>C133</f>
        <v>-30000</v>
      </c>
      <c r="J139" s="1" t="s">
        <v>2199</v>
      </c>
      <c r="L139" s="20" t="s">
        <v>63</v>
      </c>
    </row>
    <row r="140" spans="1:16" x14ac:dyDescent="0.2">
      <c r="B140" s="274">
        <f t="shared" si="3"/>
        <v>3909</v>
      </c>
      <c r="C140" s="120">
        <f t="shared" si="4"/>
        <v>6515</v>
      </c>
      <c r="D140" s="120">
        <f t="shared" si="5"/>
        <v>2606</v>
      </c>
      <c r="E140" s="1">
        <v>8</v>
      </c>
      <c r="L140" s="20" t="s">
        <v>2201</v>
      </c>
    </row>
    <row r="142" spans="1:16" x14ac:dyDescent="0.2">
      <c r="B142" s="1" t="s">
        <v>1060</v>
      </c>
    </row>
    <row r="144" spans="1:16" ht="17" thickBot="1" x14ac:dyDescent="0.25"/>
    <row r="145" spans="1:7" ht="17" thickBot="1" x14ac:dyDescent="0.25">
      <c r="B145" s="7" t="s">
        <v>99</v>
      </c>
      <c r="C145" s="8"/>
      <c r="D145" s="8"/>
      <c r="E145" s="8"/>
      <c r="F145" s="131">
        <f>IRR(B133:B140)</f>
        <v>8.5122044548703313E-2</v>
      </c>
      <c r="G145" s="84" t="s">
        <v>1057</v>
      </c>
    </row>
    <row r="147" spans="1:7" x14ac:dyDescent="0.2">
      <c r="A147" s="1" t="s">
        <v>1058</v>
      </c>
    </row>
    <row r="148" spans="1:7" x14ac:dyDescent="0.2">
      <c r="A148" s="1" t="s">
        <v>1059</v>
      </c>
    </row>
    <row r="162" spans="1:8" x14ac:dyDescent="0.2">
      <c r="A162" s="2" t="s">
        <v>887</v>
      </c>
      <c r="B162" s="2"/>
      <c r="C162" s="2"/>
      <c r="D162" s="2"/>
      <c r="E162" s="2"/>
      <c r="F162" s="2"/>
      <c r="G162" s="2"/>
      <c r="H162" s="97">
        <v>5.3</v>
      </c>
    </row>
    <row r="163" spans="1:8" s="116" customFormat="1" ht="17" thickBot="1" x14ac:dyDescent="0.25"/>
    <row r="164" spans="1:8" s="116" customFormat="1" x14ac:dyDescent="0.2">
      <c r="A164" s="116" t="s">
        <v>886</v>
      </c>
      <c r="F164" s="282" t="s">
        <v>2204</v>
      </c>
      <c r="G164" s="283"/>
      <c r="H164" s="284"/>
    </row>
    <row r="165" spans="1:8" s="116" customFormat="1" x14ac:dyDescent="0.2">
      <c r="F165" s="285" t="s">
        <v>2205</v>
      </c>
      <c r="H165" s="286"/>
    </row>
    <row r="166" spans="1:8" s="116" customFormat="1" x14ac:dyDescent="0.2">
      <c r="A166" s="117" t="s">
        <v>875</v>
      </c>
      <c r="B166" s="117" t="s">
        <v>872</v>
      </c>
      <c r="C166" s="117">
        <v>0</v>
      </c>
      <c r="D166" s="118">
        <v>1</v>
      </c>
      <c r="E166" s="117">
        <v>2</v>
      </c>
      <c r="F166" s="285" t="s">
        <v>2206</v>
      </c>
      <c r="H166" s="286"/>
    </row>
    <row r="167" spans="1:8" s="116" customFormat="1" x14ac:dyDescent="0.2">
      <c r="A167" s="48" t="s">
        <v>881</v>
      </c>
      <c r="B167" s="48" t="s">
        <v>883</v>
      </c>
      <c r="C167" s="119">
        <v>-12</v>
      </c>
      <c r="D167" s="119">
        <v>7</v>
      </c>
      <c r="E167" s="48">
        <v>7</v>
      </c>
      <c r="F167" s="285" t="s">
        <v>2207</v>
      </c>
      <c r="H167" s="286"/>
    </row>
    <row r="168" spans="1:8" s="116" customFormat="1" x14ac:dyDescent="0.2">
      <c r="A168" s="48" t="s">
        <v>882</v>
      </c>
      <c r="B168" s="48" t="s">
        <v>884</v>
      </c>
      <c r="C168" s="119">
        <v>-18</v>
      </c>
      <c r="D168" s="119">
        <v>90</v>
      </c>
      <c r="E168" s="48">
        <v>-90</v>
      </c>
      <c r="F168" s="285" t="s">
        <v>2208</v>
      </c>
      <c r="H168" s="286"/>
    </row>
    <row r="169" spans="1:8" s="116" customFormat="1" x14ac:dyDescent="0.2">
      <c r="F169" s="285" t="s">
        <v>2209</v>
      </c>
      <c r="H169" s="286"/>
    </row>
    <row r="170" spans="1:8" s="116" customFormat="1" x14ac:dyDescent="0.2">
      <c r="A170" s="116" t="s">
        <v>885</v>
      </c>
      <c r="F170" s="287" t="s">
        <v>2210</v>
      </c>
      <c r="H170" s="286"/>
    </row>
    <row r="171" spans="1:8" s="116" customFormat="1" x14ac:dyDescent="0.2">
      <c r="A171" s="116" t="s">
        <v>888</v>
      </c>
      <c r="F171" s="285" t="s">
        <v>2211</v>
      </c>
      <c r="H171" s="286"/>
    </row>
    <row r="172" spans="1:8" s="116" customFormat="1" ht="17" thickBot="1" x14ac:dyDescent="0.25">
      <c r="A172" s="116" t="s">
        <v>889</v>
      </c>
      <c r="F172" s="288" t="s">
        <v>2212</v>
      </c>
      <c r="G172" s="289"/>
      <c r="H172" s="290"/>
    </row>
    <row r="173" spans="1:8" s="116" customFormat="1" x14ac:dyDescent="0.2">
      <c r="A173" s="116" t="s">
        <v>890</v>
      </c>
    </row>
    <row r="174" spans="1:8" s="116" customFormat="1" x14ac:dyDescent="0.2">
      <c r="A174" s="116" t="s">
        <v>946</v>
      </c>
    </row>
    <row r="175" spans="1:8" s="116" customFormat="1" ht="17" thickBot="1" x14ac:dyDescent="0.25"/>
    <row r="176" spans="1:8" ht="17" thickBot="1" x14ac:dyDescent="0.25">
      <c r="A176" s="60" t="s">
        <v>1017</v>
      </c>
      <c r="B176" s="8"/>
      <c r="C176" s="8"/>
      <c r="D176" s="8"/>
      <c r="E176" s="8"/>
      <c r="F176" s="8"/>
      <c r="G176" s="8"/>
      <c r="H176" s="9"/>
    </row>
    <row r="177" spans="1:1" s="116" customFormat="1" x14ac:dyDescent="0.2"/>
    <row r="178" spans="1:1" s="116" customFormat="1" x14ac:dyDescent="0.2">
      <c r="A178" s="116" t="s">
        <v>1062</v>
      </c>
    </row>
    <row r="179" spans="1:1" s="116" customFormat="1" x14ac:dyDescent="0.2">
      <c r="A179" s="116" t="s">
        <v>1063</v>
      </c>
    </row>
    <row r="180" spans="1:1" s="116" customFormat="1" x14ac:dyDescent="0.2">
      <c r="A180" s="116" t="s">
        <v>1064</v>
      </c>
    </row>
    <row r="181" spans="1:1" s="116" customFormat="1" x14ac:dyDescent="0.2">
      <c r="A181" s="116" t="s">
        <v>1065</v>
      </c>
    </row>
    <row r="182" spans="1:1" s="116" customFormat="1" x14ac:dyDescent="0.2"/>
    <row r="183" spans="1:1" s="116" customFormat="1" x14ac:dyDescent="0.2">
      <c r="A183" s="134" t="s">
        <v>1066</v>
      </c>
    </row>
    <row r="184" spans="1:1" s="116" customFormat="1" x14ac:dyDescent="0.2">
      <c r="A184" s="134" t="s">
        <v>1067</v>
      </c>
    </row>
    <row r="185" spans="1:1" s="116" customFormat="1" x14ac:dyDescent="0.2"/>
    <row r="186" spans="1:1" s="116" customFormat="1" x14ac:dyDescent="0.2">
      <c r="A186" s="116" t="s">
        <v>1068</v>
      </c>
    </row>
    <row r="187" spans="1:1" s="116" customFormat="1" x14ac:dyDescent="0.2">
      <c r="A187" s="116" t="s">
        <v>1069</v>
      </c>
    </row>
    <row r="188" spans="1:1" s="116" customFormat="1" x14ac:dyDescent="0.2"/>
    <row r="189" spans="1:1" s="116" customFormat="1" x14ac:dyDescent="0.2">
      <c r="A189" s="116" t="s">
        <v>1070</v>
      </c>
    </row>
    <row r="190" spans="1:1" s="116" customFormat="1" x14ac:dyDescent="0.2">
      <c r="A190" s="116" t="s">
        <v>1071</v>
      </c>
    </row>
    <row r="191" spans="1:1" s="116" customFormat="1" x14ac:dyDescent="0.2">
      <c r="A191" s="116" t="s">
        <v>1072</v>
      </c>
    </row>
    <row r="192" spans="1:1" s="116" customFormat="1" x14ac:dyDescent="0.2"/>
    <row r="193" spans="1:6" s="116" customFormat="1" x14ac:dyDescent="0.2">
      <c r="A193" s="134" t="s">
        <v>1074</v>
      </c>
    </row>
    <row r="194" spans="1:6" s="116" customFormat="1" x14ac:dyDescent="0.2">
      <c r="A194" s="116" t="s">
        <v>2213</v>
      </c>
    </row>
    <row r="195" spans="1:6" s="116" customFormat="1" x14ac:dyDescent="0.2">
      <c r="A195" s="116" t="s">
        <v>2214</v>
      </c>
    </row>
    <row r="196" spans="1:6" s="116" customFormat="1" x14ac:dyDescent="0.2">
      <c r="E196" s="48" t="s">
        <v>87</v>
      </c>
      <c r="F196" s="48"/>
    </row>
    <row r="197" spans="1:6" s="116" customFormat="1" x14ac:dyDescent="0.2">
      <c r="E197" s="48">
        <v>-12</v>
      </c>
      <c r="F197" s="48">
        <v>1</v>
      </c>
    </row>
    <row r="198" spans="1:6" s="116" customFormat="1" x14ac:dyDescent="0.2">
      <c r="E198" s="48">
        <v>7</v>
      </c>
      <c r="F198" s="48">
        <v>2</v>
      </c>
    </row>
    <row r="199" spans="1:6" s="116" customFormat="1" x14ac:dyDescent="0.2">
      <c r="B199" s="275">
        <f>IRR(E197:E199)</f>
        <v>0.10922570293048639</v>
      </c>
      <c r="D199" s="116" t="s">
        <v>2215</v>
      </c>
      <c r="E199" s="48">
        <v>7</v>
      </c>
      <c r="F199" s="48">
        <v>3</v>
      </c>
    </row>
    <row r="200" spans="1:6" s="116" customFormat="1" x14ac:dyDescent="0.2"/>
    <row r="201" spans="1:6" s="116" customFormat="1" x14ac:dyDescent="0.2"/>
    <row r="202" spans="1:6" s="116" customFormat="1" x14ac:dyDescent="0.2">
      <c r="A202" s="116" t="s">
        <v>1075</v>
      </c>
    </row>
    <row r="203" spans="1:6" s="116" customFormat="1" x14ac:dyDescent="0.2">
      <c r="A203" s="116" t="s">
        <v>1076</v>
      </c>
    </row>
    <row r="204" spans="1:6" s="116" customFormat="1" x14ac:dyDescent="0.2">
      <c r="A204" s="116" t="s">
        <v>1077</v>
      </c>
    </row>
    <row r="205" spans="1:6" s="116" customFormat="1" x14ac:dyDescent="0.2">
      <c r="A205" s="116" t="s">
        <v>1078</v>
      </c>
    </row>
    <row r="206" spans="1:6" s="116" customFormat="1" x14ac:dyDescent="0.2"/>
    <row r="207" spans="1:6" s="116" customFormat="1" x14ac:dyDescent="0.2">
      <c r="A207" s="134" t="s">
        <v>2216</v>
      </c>
    </row>
    <row r="208" spans="1:6" s="116" customFormat="1" x14ac:dyDescent="0.2">
      <c r="A208" s="116" t="s">
        <v>2217</v>
      </c>
    </row>
    <row r="209" spans="1:5" s="116" customFormat="1" x14ac:dyDescent="0.2">
      <c r="A209" s="116" t="s">
        <v>2218</v>
      </c>
    </row>
    <row r="210" spans="1:5" s="116" customFormat="1" x14ac:dyDescent="0.2">
      <c r="A210" s="116" t="s">
        <v>2219</v>
      </c>
    </row>
    <row r="211" spans="1:5" s="116" customFormat="1" x14ac:dyDescent="0.2">
      <c r="A211" s="116" t="s">
        <v>2220</v>
      </c>
    </row>
    <row r="212" spans="1:5" s="116" customFormat="1" x14ac:dyDescent="0.2">
      <c r="A212" s="116" t="s">
        <v>2221</v>
      </c>
    </row>
    <row r="213" spans="1:5" s="116" customFormat="1" x14ac:dyDescent="0.2">
      <c r="C213" s="117">
        <v>0</v>
      </c>
      <c r="D213" s="117">
        <v>1</v>
      </c>
      <c r="E213" s="117">
        <v>2</v>
      </c>
    </row>
    <row r="214" spans="1:5" s="116" customFormat="1" x14ac:dyDescent="0.2">
      <c r="A214" s="48" t="s">
        <v>882</v>
      </c>
      <c r="B214" s="48" t="s">
        <v>884</v>
      </c>
      <c r="C214" s="291">
        <v>-18</v>
      </c>
      <c r="D214" s="292">
        <v>90</v>
      </c>
      <c r="E214" s="293">
        <v>-90</v>
      </c>
    </row>
    <row r="215" spans="1:5" s="116" customFormat="1" x14ac:dyDescent="0.2"/>
    <row r="216" spans="1:5" s="116" customFormat="1" x14ac:dyDescent="0.2">
      <c r="C216" s="116" t="s">
        <v>2222</v>
      </c>
    </row>
    <row r="217" spans="1:5" s="116" customFormat="1" x14ac:dyDescent="0.2"/>
    <row r="218" spans="1:5" s="116" customFormat="1" x14ac:dyDescent="0.2">
      <c r="C218" s="134" t="s">
        <v>2223</v>
      </c>
    </row>
    <row r="219" spans="1:5" s="116" customFormat="1" x14ac:dyDescent="0.2">
      <c r="C219" s="134" t="s">
        <v>2224</v>
      </c>
    </row>
    <row r="220" spans="1:5" s="116" customFormat="1" x14ac:dyDescent="0.2"/>
    <row r="221" spans="1:5" s="116" customFormat="1" x14ac:dyDescent="0.2">
      <c r="A221" s="116" t="s">
        <v>1073</v>
      </c>
    </row>
    <row r="222" spans="1:5" s="116" customFormat="1" x14ac:dyDescent="0.2"/>
    <row r="223" spans="1:5" s="116" customFormat="1" x14ac:dyDescent="0.2">
      <c r="A223" s="116" t="s">
        <v>2225</v>
      </c>
    </row>
    <row r="224" spans="1:5" s="116" customFormat="1" x14ac:dyDescent="0.2"/>
    <row r="225" spans="1:9" s="116" customFormat="1" x14ac:dyDescent="0.2"/>
    <row r="226" spans="1:9" s="116" customFormat="1" x14ac:dyDescent="0.2"/>
    <row r="227" spans="1:9" s="116" customFormat="1" x14ac:dyDescent="0.2"/>
    <row r="228" spans="1:9" s="116" customFormat="1" x14ac:dyDescent="0.2">
      <c r="A228" s="116" t="s">
        <v>2226</v>
      </c>
    </row>
    <row r="229" spans="1:9" s="116" customFormat="1" x14ac:dyDescent="0.2">
      <c r="A229" s="116" t="s">
        <v>2227</v>
      </c>
    </row>
    <row r="230" spans="1:9" s="116" customFormat="1" x14ac:dyDescent="0.2">
      <c r="C230" s="116" t="s">
        <v>2228</v>
      </c>
    </row>
    <row r="231" spans="1:9" s="116" customFormat="1" x14ac:dyDescent="0.2">
      <c r="A231" s="116" t="s">
        <v>2229</v>
      </c>
    </row>
    <row r="232" spans="1:9" s="116" customFormat="1" x14ac:dyDescent="0.2"/>
    <row r="233" spans="1:9" s="116" customFormat="1" x14ac:dyDescent="0.2"/>
    <row r="234" spans="1:9" s="116" customFormat="1" x14ac:dyDescent="0.2">
      <c r="A234" s="116" t="s">
        <v>1079</v>
      </c>
    </row>
    <row r="235" spans="1:9" s="116" customFormat="1" x14ac:dyDescent="0.2">
      <c r="A235" s="116" t="s">
        <v>1080</v>
      </c>
    </row>
    <row r="236" spans="1:9" s="116" customFormat="1" x14ac:dyDescent="0.2">
      <c r="A236" s="116" t="s">
        <v>1081</v>
      </c>
      <c r="I236" s="135"/>
    </row>
    <row r="237" spans="1:9" s="116" customFormat="1" x14ac:dyDescent="0.2">
      <c r="A237" s="116" t="s">
        <v>1094</v>
      </c>
      <c r="I237" s="135"/>
    </row>
    <row r="238" spans="1:9" s="116" customFormat="1" x14ac:dyDescent="0.2">
      <c r="A238" s="116" t="s">
        <v>1095</v>
      </c>
      <c r="I238" s="135"/>
    </row>
    <row r="239" spans="1:9" s="116" customFormat="1" x14ac:dyDescent="0.2"/>
    <row r="240" spans="1:9" s="116" customFormat="1" x14ac:dyDescent="0.2">
      <c r="A240" s="116" t="s">
        <v>1082</v>
      </c>
    </row>
    <row r="241" spans="1:8" s="116" customFormat="1" ht="17" thickBot="1" x14ac:dyDescent="0.25"/>
    <row r="242" spans="1:8" ht="17" thickBot="1" x14ac:dyDescent="0.25">
      <c r="A242" s="136" t="s">
        <v>889</v>
      </c>
      <c r="B242" s="61"/>
      <c r="C242" s="61"/>
      <c r="D242" s="61"/>
      <c r="E242" s="61"/>
      <c r="F242" s="61"/>
      <c r="G242" s="61"/>
      <c r="H242" s="127"/>
    </row>
    <row r="243" spans="1:8" s="116" customFormat="1" x14ac:dyDescent="0.2"/>
    <row r="244" spans="1:8" s="116" customFormat="1" x14ac:dyDescent="0.2">
      <c r="A244" s="116" t="s">
        <v>1083</v>
      </c>
    </row>
    <row r="245" spans="1:8" s="116" customFormat="1" x14ac:dyDescent="0.2">
      <c r="A245" s="116" t="s">
        <v>1084</v>
      </c>
    </row>
    <row r="246" spans="1:8" s="116" customFormat="1" x14ac:dyDescent="0.2"/>
    <row r="247" spans="1:8" s="116" customFormat="1" x14ac:dyDescent="0.2">
      <c r="F247" s="116" t="s">
        <v>1193</v>
      </c>
    </row>
    <row r="248" spans="1:8" s="116" customFormat="1" x14ac:dyDescent="0.2">
      <c r="C248" s="48" t="s">
        <v>87</v>
      </c>
      <c r="D248" s="48" t="s">
        <v>87</v>
      </c>
      <c r="E248" s="48"/>
      <c r="H248" s="116" t="s">
        <v>2232</v>
      </c>
    </row>
    <row r="249" spans="1:8" s="116" customFormat="1" x14ac:dyDescent="0.2">
      <c r="C249" s="117" t="s">
        <v>882</v>
      </c>
      <c r="D249" s="117" t="s">
        <v>881</v>
      </c>
      <c r="E249" s="48"/>
      <c r="H249" s="116" t="s">
        <v>2233</v>
      </c>
    </row>
    <row r="250" spans="1:8" s="116" customFormat="1" x14ac:dyDescent="0.2">
      <c r="C250" s="48">
        <v>-18</v>
      </c>
      <c r="D250" s="48">
        <v>-12</v>
      </c>
      <c r="E250" s="48">
        <v>1</v>
      </c>
      <c r="H250" s="116" t="s">
        <v>2234</v>
      </c>
    </row>
    <row r="251" spans="1:8" s="116" customFormat="1" x14ac:dyDescent="0.2">
      <c r="C251" s="48">
        <v>90</v>
      </c>
      <c r="D251" s="48">
        <v>7</v>
      </c>
      <c r="E251" s="48">
        <v>2</v>
      </c>
      <c r="H251" s="116" t="s">
        <v>2235</v>
      </c>
    </row>
    <row r="252" spans="1:8" s="116" customFormat="1" x14ac:dyDescent="0.2">
      <c r="C252" s="48">
        <v>-90</v>
      </c>
      <c r="D252" s="48">
        <v>7</v>
      </c>
      <c r="E252" s="48">
        <v>3</v>
      </c>
      <c r="H252" s="116" t="s">
        <v>2236</v>
      </c>
    </row>
    <row r="253" spans="1:8" s="116" customFormat="1" x14ac:dyDescent="0.2">
      <c r="H253" s="116" t="s">
        <v>2237</v>
      </c>
    </row>
    <row r="254" spans="1:8" s="116" customFormat="1" x14ac:dyDescent="0.2">
      <c r="C254" s="116" t="s">
        <v>2239</v>
      </c>
      <c r="D254" s="294">
        <f>NPV(5%,D251:D252)+D250</f>
        <v>1.015873015873014</v>
      </c>
      <c r="F254" s="116" t="s">
        <v>2230</v>
      </c>
      <c r="H254" s="116" t="s">
        <v>2238</v>
      </c>
    </row>
    <row r="255" spans="1:8" s="116" customFormat="1" x14ac:dyDescent="0.2">
      <c r="C255" s="116" t="s">
        <v>2240</v>
      </c>
      <c r="D255" s="294">
        <f>NPV(5%,C251:C252)+C250</f>
        <v>-13.918367346938769</v>
      </c>
      <c r="F255" s="116" t="s">
        <v>2231</v>
      </c>
    </row>
    <row r="256" spans="1:8" s="116" customFormat="1" ht="17" thickBot="1" x14ac:dyDescent="0.25"/>
    <row r="257" spans="1:8" s="116" customFormat="1" ht="17" thickBot="1" x14ac:dyDescent="0.25">
      <c r="A257" s="136" t="s">
        <v>890</v>
      </c>
      <c r="B257" s="137"/>
      <c r="C257" s="137"/>
      <c r="D257" s="137"/>
      <c r="E257" s="137"/>
      <c r="F257" s="137"/>
      <c r="G257" s="137"/>
      <c r="H257" s="138"/>
    </row>
    <row r="259" spans="1:8" s="116" customFormat="1" x14ac:dyDescent="0.2"/>
    <row r="260" spans="1:8" s="116" customFormat="1" x14ac:dyDescent="0.2"/>
    <row r="261" spans="1:8" x14ac:dyDescent="0.2">
      <c r="A261" s="115"/>
    </row>
    <row r="262" spans="1:8" x14ac:dyDescent="0.2">
      <c r="A262" s="115"/>
    </row>
    <row r="270" spans="1:8" ht="17" thickBot="1" x14ac:dyDescent="0.25"/>
    <row r="271" spans="1:8" s="116" customFormat="1" ht="17" thickBot="1" x14ac:dyDescent="0.25">
      <c r="A271" s="136" t="s">
        <v>946</v>
      </c>
      <c r="B271" s="137"/>
      <c r="C271" s="137"/>
      <c r="D271" s="137"/>
      <c r="E271" s="137"/>
      <c r="F271" s="137"/>
      <c r="G271" s="137"/>
      <c r="H271" s="138"/>
    </row>
    <row r="273" spans="1:8" x14ac:dyDescent="0.2">
      <c r="A273" s="1" t="s">
        <v>1085</v>
      </c>
    </row>
    <row r="274" spans="1:8" x14ac:dyDescent="0.2">
      <c r="A274" s="1" t="s">
        <v>1086</v>
      </c>
    </row>
    <row r="276" spans="1:8" x14ac:dyDescent="0.2">
      <c r="A276" s="2" t="s">
        <v>891</v>
      </c>
      <c r="B276" s="2"/>
      <c r="C276" s="2"/>
      <c r="D276" s="2"/>
      <c r="E276" s="2"/>
      <c r="F276" s="2"/>
      <c r="G276" s="2"/>
      <c r="H276" s="97">
        <v>5.0999999999999996</v>
      </c>
    </row>
    <row r="278" spans="1:8" x14ac:dyDescent="0.2">
      <c r="A278" s="1" t="s">
        <v>939</v>
      </c>
    </row>
    <row r="279" spans="1:8" x14ac:dyDescent="0.2">
      <c r="A279" s="1" t="s">
        <v>940</v>
      </c>
    </row>
    <row r="280" spans="1:8" x14ac:dyDescent="0.2">
      <c r="A280" s="1" t="s">
        <v>942</v>
      </c>
    </row>
    <row r="281" spans="1:8" x14ac:dyDescent="0.2">
      <c r="A281" s="1" t="s">
        <v>892</v>
      </c>
    </row>
    <row r="282" spans="1:8" x14ac:dyDescent="0.2">
      <c r="A282" s="1" t="s">
        <v>941</v>
      </c>
    </row>
    <row r="284" spans="1:8" x14ac:dyDescent="0.2">
      <c r="A284" s="1" t="s">
        <v>943</v>
      </c>
    </row>
    <row r="285" spans="1:8" x14ac:dyDescent="0.2">
      <c r="A285" s="1" t="s">
        <v>944</v>
      </c>
    </row>
    <row r="286" spans="1:8" x14ac:dyDescent="0.2">
      <c r="A286" s="1" t="s">
        <v>945</v>
      </c>
    </row>
    <row r="287" spans="1:8" ht="17" thickBot="1" x14ac:dyDescent="0.25"/>
    <row r="288" spans="1:8" ht="17" thickBot="1" x14ac:dyDescent="0.25">
      <c r="A288" s="60" t="s">
        <v>146</v>
      </c>
      <c r="B288" s="8"/>
      <c r="C288" s="8"/>
      <c r="D288" s="8"/>
      <c r="E288" s="8"/>
      <c r="F288" s="8"/>
      <c r="G288" s="8"/>
      <c r="H288" s="9"/>
    </row>
    <row r="289" spans="1:8" x14ac:dyDescent="0.2">
      <c r="A289" s="18"/>
    </row>
    <row r="290" spans="1:8" x14ac:dyDescent="0.2">
      <c r="B290" s="478" t="s">
        <v>1089</v>
      </c>
      <c r="C290" s="479"/>
      <c r="D290" s="11" t="s">
        <v>1091</v>
      </c>
      <c r="E290" s="11" t="s">
        <v>1092</v>
      </c>
      <c r="F290" s="11" t="s">
        <v>1090</v>
      </c>
    </row>
    <row r="291" spans="1:8" x14ac:dyDescent="0.2">
      <c r="B291" s="11" t="s">
        <v>1087</v>
      </c>
      <c r="C291" s="11"/>
      <c r="D291" s="38">
        <v>-2000000</v>
      </c>
      <c r="E291" s="11">
        <v>0</v>
      </c>
      <c r="F291" s="38">
        <v>600000</v>
      </c>
    </row>
    <row r="292" spans="1:8" x14ac:dyDescent="0.2">
      <c r="B292" s="11" t="s">
        <v>1088</v>
      </c>
      <c r="C292" s="11"/>
      <c r="D292" s="11">
        <v>0</v>
      </c>
      <c r="E292" s="38">
        <v>400000</v>
      </c>
      <c r="F292" s="38">
        <v>400000</v>
      </c>
    </row>
    <row r="294" spans="1:8" x14ac:dyDescent="0.2">
      <c r="A294" s="1" t="s">
        <v>1093</v>
      </c>
    </row>
    <row r="299" spans="1:8" x14ac:dyDescent="0.2">
      <c r="A299" s="1" t="s">
        <v>1096</v>
      </c>
    </row>
    <row r="300" spans="1:8" x14ac:dyDescent="0.2">
      <c r="A300" s="1" t="s">
        <v>1097</v>
      </c>
    </row>
    <row r="301" spans="1:8" x14ac:dyDescent="0.2">
      <c r="A301" s="1" t="s">
        <v>1098</v>
      </c>
    </row>
    <row r="302" spans="1:8" x14ac:dyDescent="0.2">
      <c r="A302" s="1" t="s">
        <v>1099</v>
      </c>
    </row>
    <row r="304" spans="1:8" x14ac:dyDescent="0.2">
      <c r="A304" s="477" t="s">
        <v>2241</v>
      </c>
      <c r="B304" s="477"/>
      <c r="C304" s="477"/>
      <c r="D304" s="477"/>
      <c r="E304" s="477"/>
      <c r="F304" s="477"/>
      <c r="G304" s="477"/>
      <c r="H304" s="477"/>
    </row>
    <row r="306" spans="1:4" x14ac:dyDescent="0.2">
      <c r="A306" s="1" t="s">
        <v>893</v>
      </c>
    </row>
    <row r="307" spans="1:4" x14ac:dyDescent="0.2">
      <c r="A307" s="1" t="s">
        <v>894</v>
      </c>
    </row>
    <row r="308" spans="1:4" x14ac:dyDescent="0.2">
      <c r="A308" s="1" t="s">
        <v>895</v>
      </c>
    </row>
    <row r="309" spans="1:4" x14ac:dyDescent="0.2">
      <c r="A309" s="1" t="s">
        <v>896</v>
      </c>
    </row>
    <row r="311" spans="1:4" x14ac:dyDescent="0.2">
      <c r="C311" s="20" t="s">
        <v>739</v>
      </c>
      <c r="D311" s="20" t="s">
        <v>489</v>
      </c>
    </row>
    <row r="312" spans="1:4" x14ac:dyDescent="0.2">
      <c r="A312" s="10" t="s">
        <v>897</v>
      </c>
      <c r="B312" s="10"/>
      <c r="C312" s="27">
        <v>0</v>
      </c>
      <c r="D312" s="27" t="s">
        <v>907</v>
      </c>
    </row>
    <row r="313" spans="1:4" x14ac:dyDescent="0.2">
      <c r="A313" s="1" t="s">
        <v>898</v>
      </c>
      <c r="C313" s="20"/>
      <c r="D313" s="20" t="s">
        <v>908</v>
      </c>
    </row>
    <row r="314" spans="1:4" x14ac:dyDescent="0.2">
      <c r="A314" s="1" t="s">
        <v>899</v>
      </c>
      <c r="C314" s="20"/>
      <c r="D314" s="20" t="s">
        <v>909</v>
      </c>
    </row>
    <row r="315" spans="1:4" x14ac:dyDescent="0.2">
      <c r="A315" s="1" t="s">
        <v>900</v>
      </c>
      <c r="C315" s="20"/>
      <c r="D315" s="20" t="s">
        <v>909</v>
      </c>
    </row>
    <row r="316" spans="1:4" x14ac:dyDescent="0.2">
      <c r="A316" s="1" t="s">
        <v>901</v>
      </c>
      <c r="C316" s="20"/>
      <c r="D316" s="98" t="s">
        <v>910</v>
      </c>
    </row>
    <row r="317" spans="1:4" x14ac:dyDescent="0.2">
      <c r="A317" s="1" t="s">
        <v>902</v>
      </c>
      <c r="C317" s="20"/>
      <c r="D317" s="20" t="s">
        <v>909</v>
      </c>
    </row>
    <row r="318" spans="1:4" x14ac:dyDescent="0.2">
      <c r="A318" s="1" t="s">
        <v>906</v>
      </c>
      <c r="C318" s="20"/>
      <c r="D318" s="98" t="s">
        <v>910</v>
      </c>
    </row>
    <row r="319" spans="1:4" x14ac:dyDescent="0.2">
      <c r="A319" s="1" t="s">
        <v>903</v>
      </c>
      <c r="C319" s="20" t="s">
        <v>909</v>
      </c>
      <c r="D319" s="20"/>
    </row>
    <row r="320" spans="1:4" x14ac:dyDescent="0.2">
      <c r="A320" s="1" t="s">
        <v>937</v>
      </c>
      <c r="C320" s="20"/>
      <c r="D320" s="20" t="s">
        <v>908</v>
      </c>
    </row>
    <row r="321" spans="1:8" x14ac:dyDescent="0.2">
      <c r="A321" s="1" t="s">
        <v>904</v>
      </c>
      <c r="C321" s="20"/>
      <c r="D321" s="20" t="s">
        <v>908</v>
      </c>
    </row>
    <row r="322" spans="1:8" x14ac:dyDescent="0.2">
      <c r="A322" s="1" t="s">
        <v>905</v>
      </c>
      <c r="C322" s="98" t="s">
        <v>910</v>
      </c>
      <c r="D322" s="98" t="s">
        <v>910</v>
      </c>
    </row>
    <row r="324" spans="1:8" x14ac:dyDescent="0.2">
      <c r="A324" s="2" t="s">
        <v>911</v>
      </c>
      <c r="B324" s="2"/>
      <c r="C324" s="2"/>
      <c r="D324" s="2"/>
      <c r="E324" s="2"/>
      <c r="F324" s="2"/>
      <c r="G324" s="2"/>
      <c r="H324" s="2">
        <v>6.1</v>
      </c>
    </row>
    <row r="326" spans="1:8" x14ac:dyDescent="0.2">
      <c r="A326" s="1" t="s">
        <v>912</v>
      </c>
    </row>
    <row r="327" spans="1:8" x14ac:dyDescent="0.2">
      <c r="A327" s="1" t="s">
        <v>913</v>
      </c>
    </row>
    <row r="328" spans="1:8" x14ac:dyDescent="0.2">
      <c r="A328" s="1" t="s">
        <v>914</v>
      </c>
    </row>
    <row r="329" spans="1:8" x14ac:dyDescent="0.2">
      <c r="A329" s="1" t="s">
        <v>2242</v>
      </c>
    </row>
    <row r="330" spans="1:8" x14ac:dyDescent="0.2">
      <c r="A330" s="1" t="s">
        <v>915</v>
      </c>
    </row>
    <row r="331" spans="1:8" x14ac:dyDescent="0.2">
      <c r="A331" s="1" t="s">
        <v>916</v>
      </c>
    </row>
    <row r="332" spans="1:8" x14ac:dyDescent="0.2">
      <c r="A332" s="1" t="s">
        <v>952</v>
      </c>
    </row>
    <row r="333" spans="1:8" x14ac:dyDescent="0.2">
      <c r="A333" s="1" t="s">
        <v>917</v>
      </c>
    </row>
    <row r="334" spans="1:8" x14ac:dyDescent="0.2">
      <c r="A334" s="1" t="s">
        <v>918</v>
      </c>
    </row>
    <row r="336" spans="1:8" x14ac:dyDescent="0.2">
      <c r="A336" s="1" t="s">
        <v>885</v>
      </c>
    </row>
    <row r="337" spans="1:8" x14ac:dyDescent="0.2">
      <c r="A337" s="1" t="s">
        <v>919</v>
      </c>
    </row>
    <row r="338" spans="1:8" x14ac:dyDescent="0.2">
      <c r="A338" s="1" t="s">
        <v>920</v>
      </c>
    </row>
    <row r="339" spans="1:8" x14ac:dyDescent="0.2">
      <c r="A339" s="1" t="s">
        <v>921</v>
      </c>
    </row>
    <row r="341" spans="1:8" x14ac:dyDescent="0.2">
      <c r="A341" s="99" t="s">
        <v>947</v>
      </c>
      <c r="B341" s="100"/>
      <c r="C341" s="100"/>
      <c r="D341" s="100"/>
      <c r="E341" s="100"/>
      <c r="F341" s="100"/>
      <c r="G341" s="100"/>
      <c r="H341" s="100"/>
    </row>
    <row r="342" spans="1:8" x14ac:dyDescent="0.2">
      <c r="C342" s="20" t="s">
        <v>739</v>
      </c>
      <c r="D342" s="20"/>
    </row>
    <row r="343" spans="1:8" x14ac:dyDescent="0.2">
      <c r="A343" s="10" t="s">
        <v>897</v>
      </c>
      <c r="B343" s="10"/>
      <c r="C343" s="27">
        <v>0</v>
      </c>
      <c r="D343" s="27">
        <v>1</v>
      </c>
      <c r="E343" s="27">
        <v>2</v>
      </c>
      <c r="F343" s="27">
        <v>3</v>
      </c>
      <c r="G343" s="27">
        <v>4</v>
      </c>
    </row>
    <row r="344" spans="1:8" s="116" customFormat="1" x14ac:dyDescent="0.2">
      <c r="A344" s="116" t="s">
        <v>898</v>
      </c>
      <c r="C344" s="48"/>
      <c r="D344" s="119">
        <v>80000</v>
      </c>
      <c r="E344" s="119">
        <f>D344</f>
        <v>80000</v>
      </c>
      <c r="F344" s="119">
        <f>E344</f>
        <v>80000</v>
      </c>
      <c r="G344" s="119">
        <f>F344</f>
        <v>80000</v>
      </c>
    </row>
    <row r="345" spans="1:8" x14ac:dyDescent="0.2">
      <c r="A345" s="116" t="s">
        <v>951</v>
      </c>
      <c r="B345" s="115"/>
      <c r="C345" s="218"/>
      <c r="D345" s="171">
        <f>-15000-10000</f>
        <v>-25000</v>
      </c>
      <c r="E345" s="171">
        <f>-15000-12000</f>
        <v>-27000</v>
      </c>
      <c r="F345" s="171">
        <f>-15000-12000*1.04</f>
        <v>-27480</v>
      </c>
      <c r="G345" s="171">
        <f>-15000-12000*1.04^2</f>
        <v>-27979.200000000001</v>
      </c>
    </row>
    <row r="346" spans="1:8" x14ac:dyDescent="0.2">
      <c r="A346" s="116" t="s">
        <v>900</v>
      </c>
      <c r="B346" s="116"/>
      <c r="C346" s="48"/>
      <c r="D346" s="296">
        <f>-100000/2</f>
        <v>-50000</v>
      </c>
      <c r="E346" s="296">
        <f>D346</f>
        <v>-50000</v>
      </c>
      <c r="F346" s="48">
        <v>0</v>
      </c>
      <c r="G346" s="48">
        <v>0</v>
      </c>
    </row>
    <row r="347" spans="1:8" s="116" customFormat="1" x14ac:dyDescent="0.2">
      <c r="A347" s="116" t="s">
        <v>901</v>
      </c>
      <c r="C347" s="48"/>
      <c r="D347" s="297">
        <f>SUM(D344:D346)</f>
        <v>5000</v>
      </c>
      <c r="E347" s="297">
        <f>SUM(E344:E346)</f>
        <v>3000</v>
      </c>
      <c r="F347" s="297">
        <f>SUM(F344:F346)</f>
        <v>52520</v>
      </c>
      <c r="G347" s="297">
        <f>SUM(G344:G346)</f>
        <v>52020.800000000003</v>
      </c>
    </row>
    <row r="348" spans="1:8" ht="17" thickBot="1" x14ac:dyDescent="0.25">
      <c r="A348" s="116" t="s">
        <v>953</v>
      </c>
      <c r="B348" s="116"/>
      <c r="C348" s="48"/>
      <c r="D348" s="296">
        <f>-23%*D347</f>
        <v>-1150</v>
      </c>
      <c r="E348" s="296">
        <f>-23%*E347</f>
        <v>-690</v>
      </c>
      <c r="F348" s="296">
        <f>-23%*F347</f>
        <v>-12079.6</v>
      </c>
      <c r="G348" s="296">
        <f>-23%*G347</f>
        <v>-11964.784000000001</v>
      </c>
    </row>
    <row r="349" spans="1:8" ht="17" thickBot="1" x14ac:dyDescent="0.25">
      <c r="A349" s="136" t="s">
        <v>954</v>
      </c>
      <c r="B349" s="137"/>
      <c r="C349" s="298"/>
      <c r="D349" s="299">
        <f>D347+D348</f>
        <v>3850</v>
      </c>
      <c r="E349" s="299">
        <f t="shared" ref="E349:G349" si="6">E347+E348</f>
        <v>2310</v>
      </c>
      <c r="F349" s="299">
        <f t="shared" si="6"/>
        <v>40440.400000000001</v>
      </c>
      <c r="G349" s="300">
        <f t="shared" si="6"/>
        <v>40056.016000000003</v>
      </c>
    </row>
    <row r="350" spans="1:8" x14ac:dyDescent="0.2">
      <c r="A350" s="116" t="s">
        <v>903</v>
      </c>
      <c r="B350" s="116"/>
      <c r="C350" s="171">
        <v>-100000</v>
      </c>
      <c r="D350" s="218"/>
      <c r="E350" s="218"/>
      <c r="F350" s="218"/>
      <c r="G350" s="218"/>
    </row>
    <row r="351" spans="1:8" s="116" customFormat="1" x14ac:dyDescent="0.2">
      <c r="A351" s="116" t="s">
        <v>937</v>
      </c>
      <c r="C351" s="48"/>
      <c r="D351" s="48"/>
      <c r="E351" s="48"/>
      <c r="F351" s="48"/>
      <c r="G351" s="48">
        <v>0</v>
      </c>
    </row>
    <row r="352" spans="1:8" s="116" customFormat="1" x14ac:dyDescent="0.2">
      <c r="A352" s="116" t="s">
        <v>904</v>
      </c>
      <c r="C352" s="48"/>
      <c r="D352" s="171">
        <f>-D346</f>
        <v>50000</v>
      </c>
      <c r="E352" s="171">
        <f>-E346</f>
        <v>50000</v>
      </c>
      <c r="F352" s="48">
        <v>0</v>
      </c>
      <c r="G352" s="48">
        <v>0</v>
      </c>
    </row>
    <row r="353" spans="1:7" s="18" customFormat="1" x14ac:dyDescent="0.2">
      <c r="A353" s="134" t="s">
        <v>905</v>
      </c>
      <c r="B353" s="295"/>
      <c r="C353" s="301">
        <f>SUM(C349:C352)</f>
        <v>-100000</v>
      </c>
      <c r="D353" s="301">
        <f>SUM(D349:D352)</f>
        <v>53850</v>
      </c>
      <c r="E353" s="301">
        <f>SUM(E349:E352)</f>
        <v>52310</v>
      </c>
      <c r="F353" s="301">
        <f>SUM(F349:F352)</f>
        <v>40440.400000000001</v>
      </c>
      <c r="G353" s="301">
        <f>SUM(G349:G352)</f>
        <v>40056.016000000003</v>
      </c>
    </row>
    <row r="356" spans="1:7" hidden="1" x14ac:dyDescent="0.2">
      <c r="A356" s="1" t="s">
        <v>948</v>
      </c>
    </row>
    <row r="357" spans="1:7" hidden="1" x14ac:dyDescent="0.2">
      <c r="A357" s="1" t="s">
        <v>949</v>
      </c>
    </row>
    <row r="358" spans="1:7" hidden="1" x14ac:dyDescent="0.2">
      <c r="A358" s="1" t="s">
        <v>950</v>
      </c>
    </row>
    <row r="359" spans="1:7" hidden="1" x14ac:dyDescent="0.2"/>
    <row r="360" spans="1:7" hidden="1" x14ac:dyDescent="0.2">
      <c r="A360" s="1" t="s">
        <v>955</v>
      </c>
    </row>
    <row r="361" spans="1:7" hidden="1" x14ac:dyDescent="0.2">
      <c r="A361" s="1" t="s">
        <v>956</v>
      </c>
    </row>
    <row r="362" spans="1:7" hidden="1" x14ac:dyDescent="0.2"/>
    <row r="363" spans="1:7" hidden="1" x14ac:dyDescent="0.2">
      <c r="A363" s="1" t="s">
        <v>957</v>
      </c>
    </row>
    <row r="364" spans="1:7" hidden="1" x14ac:dyDescent="0.2"/>
    <row r="365" spans="1:7" hidden="1" x14ac:dyDescent="0.2">
      <c r="A365" s="18" t="s">
        <v>403</v>
      </c>
    </row>
    <row r="366" spans="1:7" hidden="1" x14ac:dyDescent="0.2"/>
    <row r="369" spans="1:8" x14ac:dyDescent="0.2">
      <c r="A369" s="18" t="s">
        <v>958</v>
      </c>
    </row>
    <row r="371" spans="1:8" x14ac:dyDescent="0.2">
      <c r="F371" s="20"/>
      <c r="G371" s="1" t="s">
        <v>959</v>
      </c>
    </row>
    <row r="372" spans="1:8" x14ac:dyDescent="0.2">
      <c r="A372" s="1" t="s">
        <v>960</v>
      </c>
      <c r="F372" s="20">
        <v>10</v>
      </c>
      <c r="G372" s="1" t="s">
        <v>63</v>
      </c>
    </row>
    <row r="373" spans="1:8" x14ac:dyDescent="0.2">
      <c r="D373" s="20" t="s">
        <v>87</v>
      </c>
      <c r="G373" s="1" t="s">
        <v>961</v>
      </c>
    </row>
    <row r="374" spans="1:8" x14ac:dyDescent="0.2">
      <c r="D374" s="101">
        <v>-100000</v>
      </c>
      <c r="E374" s="20">
        <v>1</v>
      </c>
    </row>
    <row r="375" spans="1:8" x14ac:dyDescent="0.2">
      <c r="D375" s="101">
        <v>53850</v>
      </c>
      <c r="E375" s="20">
        <v>2</v>
      </c>
    </row>
    <row r="376" spans="1:8" x14ac:dyDescent="0.2">
      <c r="D376" s="101">
        <v>52310</v>
      </c>
      <c r="E376" s="20">
        <v>3</v>
      </c>
    </row>
    <row r="377" spans="1:8" x14ac:dyDescent="0.2">
      <c r="D377" s="101">
        <v>40440</v>
      </c>
      <c r="E377" s="20">
        <v>4</v>
      </c>
    </row>
    <row r="378" spans="1:8" x14ac:dyDescent="0.2">
      <c r="D378" s="101">
        <v>40056</v>
      </c>
      <c r="E378" s="20">
        <v>5</v>
      </c>
      <c r="F378" s="20" t="s">
        <v>88</v>
      </c>
      <c r="G378" s="20" t="s">
        <v>89</v>
      </c>
    </row>
    <row r="380" spans="1:8" x14ac:dyDescent="0.2">
      <c r="F380" s="50">
        <f>NPV(F372/100,D375:D378)+D374</f>
        <v>49927.90792978619</v>
      </c>
      <c r="G380" s="1" t="s">
        <v>962</v>
      </c>
    </row>
    <row r="382" spans="1:8" x14ac:dyDescent="0.2">
      <c r="A382" s="1" t="s">
        <v>963</v>
      </c>
    </row>
    <row r="384" spans="1:8" x14ac:dyDescent="0.2">
      <c r="A384" s="99" t="s">
        <v>964</v>
      </c>
      <c r="B384" s="100"/>
      <c r="C384" s="100"/>
      <c r="D384" s="100"/>
      <c r="E384" s="100"/>
      <c r="F384" s="100"/>
      <c r="G384" s="100"/>
      <c r="H384" s="100"/>
    </row>
    <row r="386" spans="1:7" x14ac:dyDescent="0.2">
      <c r="A386" s="1" t="s">
        <v>965</v>
      </c>
    </row>
    <row r="387" spans="1:7" x14ac:dyDescent="0.2">
      <c r="A387" s="1" t="s">
        <v>966</v>
      </c>
    </row>
    <row r="389" spans="1:7" x14ac:dyDescent="0.2">
      <c r="G389" s="1" t="s">
        <v>959</v>
      </c>
    </row>
    <row r="390" spans="1:7" x14ac:dyDescent="0.2">
      <c r="F390" s="20">
        <v>10</v>
      </c>
      <c r="G390" s="1" t="s">
        <v>63</v>
      </c>
    </row>
    <row r="391" spans="1:7" x14ac:dyDescent="0.2">
      <c r="D391" s="20" t="s">
        <v>87</v>
      </c>
      <c r="G391" s="1" t="s">
        <v>961</v>
      </c>
    </row>
    <row r="392" spans="1:7" x14ac:dyDescent="0.2">
      <c r="A392" s="1" t="s">
        <v>2243</v>
      </c>
      <c r="D392" s="101">
        <v>0</v>
      </c>
      <c r="E392" s="20">
        <v>1</v>
      </c>
    </row>
    <row r="393" spans="1:7" x14ac:dyDescent="0.2">
      <c r="A393" s="1" t="s">
        <v>2244</v>
      </c>
      <c r="D393" s="101">
        <v>40440</v>
      </c>
      <c r="E393" s="20">
        <v>2</v>
      </c>
    </row>
    <row r="394" spans="1:7" x14ac:dyDescent="0.2">
      <c r="A394" s="1" t="s">
        <v>2245</v>
      </c>
      <c r="D394" s="101">
        <v>40056</v>
      </c>
      <c r="E394" s="20">
        <v>3</v>
      </c>
      <c r="F394" s="20" t="s">
        <v>88</v>
      </c>
      <c r="G394" s="20" t="s">
        <v>89</v>
      </c>
    </row>
    <row r="396" spans="1:7" x14ac:dyDescent="0.2">
      <c r="A396" s="18" t="s">
        <v>972</v>
      </c>
      <c r="F396" s="50">
        <f>NPV(F390/100,D393:D394)+D392</f>
        <v>69867.7685950413</v>
      </c>
      <c r="G396" s="1" t="s">
        <v>962</v>
      </c>
    </row>
    <row r="398" spans="1:7" x14ac:dyDescent="0.2">
      <c r="A398" s="1" t="s">
        <v>967</v>
      </c>
    </row>
    <row r="399" spans="1:7" x14ac:dyDescent="0.2">
      <c r="A399" s="1" t="s">
        <v>968</v>
      </c>
    </row>
    <row r="400" spans="1:7" x14ac:dyDescent="0.2">
      <c r="A400" s="1" t="s">
        <v>969</v>
      </c>
    </row>
    <row r="404" spans="1:8" x14ac:dyDescent="0.2">
      <c r="A404" s="1" t="s">
        <v>970</v>
      </c>
    </row>
    <row r="405" spans="1:8" x14ac:dyDescent="0.2">
      <c r="A405" s="1" t="s">
        <v>971</v>
      </c>
    </row>
    <row r="407" spans="1:8" x14ac:dyDescent="0.2">
      <c r="A407" s="2" t="s">
        <v>922</v>
      </c>
      <c r="B407" s="2"/>
      <c r="C407" s="2"/>
      <c r="D407" s="2"/>
      <c r="E407" s="2"/>
      <c r="F407" s="2"/>
      <c r="G407" s="2"/>
      <c r="H407" s="2">
        <v>6.2</v>
      </c>
    </row>
    <row r="409" spans="1:8" x14ac:dyDescent="0.2">
      <c r="A409" s="1" t="s">
        <v>923</v>
      </c>
    </row>
    <row r="410" spans="1:8" x14ac:dyDescent="0.2">
      <c r="A410" s="1" t="s">
        <v>924</v>
      </c>
    </row>
    <row r="411" spans="1:8" x14ac:dyDescent="0.2">
      <c r="A411" s="1" t="s">
        <v>2246</v>
      </c>
    </row>
    <row r="412" spans="1:8" x14ac:dyDescent="0.2">
      <c r="A412" s="1" t="s">
        <v>925</v>
      </c>
    </row>
    <row r="413" spans="1:8" x14ac:dyDescent="0.2">
      <c r="A413" s="1" t="s">
        <v>926</v>
      </c>
    </row>
    <row r="414" spans="1:8" x14ac:dyDescent="0.2">
      <c r="A414" s="1" t="s">
        <v>927</v>
      </c>
    </row>
    <row r="415" spans="1:8" x14ac:dyDescent="0.2">
      <c r="A415" s="1" t="s">
        <v>928</v>
      </c>
    </row>
    <row r="417" spans="1:12" x14ac:dyDescent="0.2">
      <c r="A417" s="1" t="s">
        <v>929</v>
      </c>
    </row>
    <row r="419" spans="1:12" x14ac:dyDescent="0.2">
      <c r="C419" s="20" t="s">
        <v>739</v>
      </c>
      <c r="D419" s="20"/>
    </row>
    <row r="420" spans="1:12" x14ac:dyDescent="0.2">
      <c r="A420" s="10" t="s">
        <v>897</v>
      </c>
      <c r="B420" s="10"/>
      <c r="C420" s="27">
        <v>0</v>
      </c>
      <c r="D420" s="27">
        <v>1</v>
      </c>
      <c r="E420" s="27">
        <v>2</v>
      </c>
      <c r="F420" s="27">
        <v>3</v>
      </c>
      <c r="G420" s="27">
        <v>4</v>
      </c>
      <c r="H420" s="27">
        <v>5</v>
      </c>
      <c r="I420" s="27">
        <v>6</v>
      </c>
    </row>
    <row r="421" spans="1:12" s="116" customFormat="1" x14ac:dyDescent="0.2">
      <c r="A421" s="116" t="s">
        <v>898</v>
      </c>
      <c r="C421" s="48"/>
      <c r="D421" s="475">
        <v>90000</v>
      </c>
      <c r="E421" s="475">
        <v>90000</v>
      </c>
      <c r="F421" s="475">
        <v>90000</v>
      </c>
      <c r="G421" s="475">
        <v>90000</v>
      </c>
      <c r="H421" s="475">
        <v>90000</v>
      </c>
      <c r="I421" s="475">
        <v>90000</v>
      </c>
    </row>
    <row r="422" spans="1:12" s="116" customFormat="1" x14ac:dyDescent="0.2">
      <c r="A422" s="116" t="s">
        <v>973</v>
      </c>
      <c r="C422" s="48"/>
      <c r="D422" s="476"/>
      <c r="E422" s="476"/>
      <c r="F422" s="476"/>
      <c r="G422" s="476"/>
      <c r="H422" s="476"/>
      <c r="I422" s="476"/>
    </row>
    <row r="423" spans="1:12" s="116" customFormat="1" x14ac:dyDescent="0.2">
      <c r="A423" s="116" t="s">
        <v>2249</v>
      </c>
      <c r="C423" s="48"/>
      <c r="D423" s="296">
        <f>C427/5</f>
        <v>-60000</v>
      </c>
      <c r="E423" s="296">
        <f>D423</f>
        <v>-60000</v>
      </c>
      <c r="F423" s="296">
        <f t="shared" ref="F423:H423" si="7">E423</f>
        <v>-60000</v>
      </c>
      <c r="G423" s="296">
        <f t="shared" si="7"/>
        <v>-60000</v>
      </c>
      <c r="H423" s="296">
        <f t="shared" si="7"/>
        <v>-60000</v>
      </c>
      <c r="I423" s="302"/>
    </row>
    <row r="424" spans="1:12" s="116" customFormat="1" x14ac:dyDescent="0.2">
      <c r="A424" s="116" t="s">
        <v>901</v>
      </c>
      <c r="C424" s="48"/>
      <c r="D424" s="297">
        <f t="shared" ref="D424:I424" si="8">D421+D423</f>
        <v>30000</v>
      </c>
      <c r="E424" s="297">
        <f t="shared" si="8"/>
        <v>30000</v>
      </c>
      <c r="F424" s="297">
        <f t="shared" si="8"/>
        <v>30000</v>
      </c>
      <c r="G424" s="297">
        <f t="shared" si="8"/>
        <v>30000</v>
      </c>
      <c r="H424" s="297">
        <f t="shared" si="8"/>
        <v>30000</v>
      </c>
      <c r="I424" s="297">
        <f t="shared" si="8"/>
        <v>90000</v>
      </c>
    </row>
    <row r="425" spans="1:12" s="116" customFormat="1" x14ac:dyDescent="0.2">
      <c r="A425" s="116" t="s">
        <v>976</v>
      </c>
      <c r="C425" s="48"/>
      <c r="D425" s="296">
        <f>-23%*D424</f>
        <v>-6900</v>
      </c>
      <c r="E425" s="296">
        <f t="shared" ref="E425:F425" si="9">-23%*E424</f>
        <v>-6900</v>
      </c>
      <c r="F425" s="296">
        <f t="shared" si="9"/>
        <v>-6900</v>
      </c>
      <c r="G425" s="296">
        <f>-23%*G424</f>
        <v>-6900</v>
      </c>
      <c r="H425" s="296">
        <f>-23%*H424</f>
        <v>-6900</v>
      </c>
      <c r="I425" s="296">
        <f>-23%*I424</f>
        <v>-20700</v>
      </c>
    </row>
    <row r="426" spans="1:12" s="116" customFormat="1" x14ac:dyDescent="0.2">
      <c r="A426" s="116" t="s">
        <v>977</v>
      </c>
      <c r="C426" s="48"/>
      <c r="D426" s="297">
        <f>D424+D425</f>
        <v>23100</v>
      </c>
      <c r="E426" s="297">
        <f t="shared" ref="E426:I426" si="10">E424+E425</f>
        <v>23100</v>
      </c>
      <c r="F426" s="297">
        <f t="shared" si="10"/>
        <v>23100</v>
      </c>
      <c r="G426" s="297">
        <f t="shared" si="10"/>
        <v>23100</v>
      </c>
      <c r="H426" s="297">
        <f t="shared" si="10"/>
        <v>23100</v>
      </c>
      <c r="I426" s="297">
        <f t="shared" si="10"/>
        <v>69300</v>
      </c>
    </row>
    <row r="427" spans="1:12" s="116" customFormat="1" ht="17" thickBot="1" x14ac:dyDescent="0.25">
      <c r="A427" s="116" t="s">
        <v>2247</v>
      </c>
      <c r="C427" s="171">
        <v>-300000</v>
      </c>
      <c r="D427" s="48"/>
      <c r="E427" s="48"/>
      <c r="F427" s="48"/>
      <c r="G427" s="48"/>
      <c r="H427" s="48"/>
      <c r="I427" s="48"/>
    </row>
    <row r="428" spans="1:12" s="116" customFormat="1" x14ac:dyDescent="0.2">
      <c r="A428" s="116" t="s">
        <v>974</v>
      </c>
      <c r="C428" s="171">
        <v>-500000</v>
      </c>
      <c r="D428" s="48"/>
      <c r="E428" s="48"/>
      <c r="F428" s="48"/>
      <c r="G428" s="48"/>
      <c r="H428" s="48"/>
      <c r="I428" s="303">
        <f>-C428</f>
        <v>500000</v>
      </c>
      <c r="K428" s="282" t="s">
        <v>1003</v>
      </c>
      <c r="L428" s="284"/>
    </row>
    <row r="429" spans="1:12" s="116" customFormat="1" x14ac:dyDescent="0.2">
      <c r="A429" s="116" t="s">
        <v>937</v>
      </c>
      <c r="C429" s="48"/>
      <c r="D429" s="48"/>
      <c r="E429" s="48"/>
      <c r="F429" s="48"/>
      <c r="G429" s="48"/>
      <c r="H429" s="48"/>
      <c r="I429" s="48">
        <v>0</v>
      </c>
      <c r="K429" s="285" t="s">
        <v>1004</v>
      </c>
      <c r="L429" s="286"/>
    </row>
    <row r="430" spans="1:12" s="116" customFormat="1" x14ac:dyDescent="0.2">
      <c r="A430" s="116" t="s">
        <v>2248</v>
      </c>
      <c r="C430" s="48"/>
      <c r="D430" s="171">
        <f t="shared" ref="D430:I430" si="11">-D423</f>
        <v>60000</v>
      </c>
      <c r="E430" s="171">
        <f t="shared" si="11"/>
        <v>60000</v>
      </c>
      <c r="F430" s="171">
        <f t="shared" si="11"/>
        <v>60000</v>
      </c>
      <c r="G430" s="171">
        <f t="shared" si="11"/>
        <v>60000</v>
      </c>
      <c r="H430" s="171">
        <f t="shared" si="11"/>
        <v>60000</v>
      </c>
      <c r="I430" s="171">
        <f t="shared" si="11"/>
        <v>0</v>
      </c>
      <c r="K430" s="285" t="s">
        <v>1005</v>
      </c>
      <c r="L430" s="286"/>
    </row>
    <row r="431" spans="1:12" s="134" customFormat="1" x14ac:dyDescent="0.2">
      <c r="A431" s="134" t="s">
        <v>905</v>
      </c>
      <c r="C431" s="304">
        <f>SUM(C426:C430)</f>
        <v>-800000</v>
      </c>
      <c r="D431" s="304">
        <f t="shared" ref="D431:I431" si="12">SUM(D426:D430)</f>
        <v>83100</v>
      </c>
      <c r="E431" s="304">
        <f t="shared" si="12"/>
        <v>83100</v>
      </c>
      <c r="F431" s="304">
        <f t="shared" si="12"/>
        <v>83100</v>
      </c>
      <c r="G431" s="304">
        <f t="shared" si="12"/>
        <v>83100</v>
      </c>
      <c r="H431" s="304">
        <f t="shared" si="12"/>
        <v>83100</v>
      </c>
      <c r="I431" s="304">
        <f t="shared" si="12"/>
        <v>569300</v>
      </c>
      <c r="K431" s="285" t="s">
        <v>1006</v>
      </c>
      <c r="L431" s="305"/>
    </row>
    <row r="432" spans="1:12" x14ac:dyDescent="0.2">
      <c r="K432" s="111" t="s">
        <v>1007</v>
      </c>
      <c r="L432" s="112"/>
    </row>
    <row r="433" spans="1:12" ht="17" thickBot="1" x14ac:dyDescent="0.25">
      <c r="A433" s="1" t="s">
        <v>978</v>
      </c>
      <c r="K433" s="113" t="s">
        <v>1008</v>
      </c>
      <c r="L433" s="114"/>
    </row>
    <row r="435" spans="1:12" x14ac:dyDescent="0.2">
      <c r="G435" s="1" t="s">
        <v>84</v>
      </c>
    </row>
    <row r="436" spans="1:12" x14ac:dyDescent="0.2">
      <c r="F436" s="20">
        <v>12</v>
      </c>
      <c r="G436" s="1" t="s">
        <v>63</v>
      </c>
    </row>
    <row r="437" spans="1:12" x14ac:dyDescent="0.2">
      <c r="D437" s="27" t="s">
        <v>87</v>
      </c>
      <c r="F437" s="20"/>
      <c r="G437" s="1" t="s">
        <v>979</v>
      </c>
    </row>
    <row r="438" spans="1:12" x14ac:dyDescent="0.2">
      <c r="D438" s="101">
        <f>C431</f>
        <v>-800000</v>
      </c>
      <c r="E438" s="20">
        <v>1</v>
      </c>
      <c r="F438" s="20"/>
    </row>
    <row r="439" spans="1:12" x14ac:dyDescent="0.2">
      <c r="D439" s="101">
        <f>D431</f>
        <v>83100</v>
      </c>
      <c r="E439" s="20">
        <v>2</v>
      </c>
      <c r="F439" s="20"/>
    </row>
    <row r="440" spans="1:12" x14ac:dyDescent="0.2">
      <c r="D440" s="101">
        <f>D439</f>
        <v>83100</v>
      </c>
      <c r="E440" s="20">
        <v>3</v>
      </c>
      <c r="F440" s="20"/>
    </row>
    <row r="441" spans="1:12" x14ac:dyDescent="0.2">
      <c r="D441" s="101">
        <f>D440</f>
        <v>83100</v>
      </c>
      <c r="E441" s="20">
        <v>4</v>
      </c>
      <c r="F441" s="20"/>
    </row>
    <row r="442" spans="1:12" x14ac:dyDescent="0.2">
      <c r="D442" s="101">
        <f>D441</f>
        <v>83100</v>
      </c>
      <c r="E442" s="20">
        <v>5</v>
      </c>
      <c r="F442" s="20"/>
    </row>
    <row r="443" spans="1:12" x14ac:dyDescent="0.2">
      <c r="D443" s="101">
        <f>D442</f>
        <v>83100</v>
      </c>
      <c r="E443" s="20">
        <v>6</v>
      </c>
      <c r="F443" s="20"/>
    </row>
    <row r="444" spans="1:12" x14ac:dyDescent="0.2">
      <c r="D444" s="101">
        <f>I431</f>
        <v>569300</v>
      </c>
      <c r="E444" s="20">
        <v>7</v>
      </c>
      <c r="F444" s="20" t="s">
        <v>980</v>
      </c>
    </row>
    <row r="445" spans="1:12" x14ac:dyDescent="0.2">
      <c r="F445" s="20"/>
    </row>
    <row r="446" spans="1:12" x14ac:dyDescent="0.2">
      <c r="A446" s="1" t="s">
        <v>2250</v>
      </c>
      <c r="F446" s="50">
        <f>NPV(F436/100,D439:D444)+D438</f>
        <v>-212018.00029888155</v>
      </c>
      <c r="G446" s="1" t="s">
        <v>962</v>
      </c>
    </row>
    <row r="450" spans="1:8" x14ac:dyDescent="0.2">
      <c r="A450" s="2" t="s">
        <v>930</v>
      </c>
      <c r="B450" s="2"/>
      <c r="C450" s="2"/>
      <c r="D450" s="2"/>
      <c r="E450" s="2"/>
      <c r="F450" s="2"/>
      <c r="G450" s="2"/>
      <c r="H450" s="2">
        <v>6.3</v>
      </c>
    </row>
    <row r="452" spans="1:8" x14ac:dyDescent="0.2">
      <c r="A452" s="1" t="s">
        <v>931</v>
      </c>
    </row>
    <row r="453" spans="1:8" x14ac:dyDescent="0.2">
      <c r="A453" s="1" t="s">
        <v>932</v>
      </c>
    </row>
    <row r="454" spans="1:8" x14ac:dyDescent="0.2">
      <c r="A454" s="1" t="s">
        <v>936</v>
      </c>
    </row>
    <row r="455" spans="1:8" x14ac:dyDescent="0.2">
      <c r="A455" s="1" t="s">
        <v>933</v>
      </c>
    </row>
    <row r="456" spans="1:8" x14ac:dyDescent="0.2">
      <c r="A456" s="1" t="s">
        <v>934</v>
      </c>
    </row>
    <row r="457" spans="1:8" x14ac:dyDescent="0.2">
      <c r="A457" s="1" t="s">
        <v>935</v>
      </c>
    </row>
    <row r="458" spans="1:8" x14ac:dyDescent="0.2">
      <c r="A458" s="1" t="s">
        <v>2251</v>
      </c>
    </row>
    <row r="460" spans="1:8" x14ac:dyDescent="0.2">
      <c r="A460" s="1" t="s">
        <v>938</v>
      </c>
    </row>
    <row r="462" spans="1:8" x14ac:dyDescent="0.2">
      <c r="A462" s="115"/>
      <c r="B462" s="115"/>
      <c r="C462" s="218" t="s">
        <v>739</v>
      </c>
      <c r="D462" s="218"/>
      <c r="E462" s="115"/>
      <c r="F462" s="115"/>
      <c r="G462" s="115"/>
    </row>
    <row r="463" spans="1:8" x14ac:dyDescent="0.2">
      <c r="A463" s="306" t="s">
        <v>897</v>
      </c>
      <c r="B463" s="306"/>
      <c r="C463" s="117">
        <v>0</v>
      </c>
      <c r="D463" s="117">
        <v>1</v>
      </c>
      <c r="E463" s="117">
        <v>2</v>
      </c>
      <c r="F463" s="117">
        <v>3</v>
      </c>
      <c r="G463" s="117">
        <v>4</v>
      </c>
    </row>
    <row r="464" spans="1:8" x14ac:dyDescent="0.2">
      <c r="A464" s="116" t="s">
        <v>898</v>
      </c>
      <c r="B464" s="116"/>
      <c r="C464" s="48"/>
      <c r="D464" s="171">
        <v>60000</v>
      </c>
      <c r="E464" s="171">
        <v>60000</v>
      </c>
      <c r="F464" s="171">
        <v>60000</v>
      </c>
      <c r="G464" s="171">
        <v>60000</v>
      </c>
    </row>
    <row r="465" spans="1:8" x14ac:dyDescent="0.2">
      <c r="A465" s="116" t="s">
        <v>973</v>
      </c>
      <c r="B465" s="116"/>
      <c r="C465" s="48"/>
      <c r="D465" s="48">
        <v>0</v>
      </c>
      <c r="E465" s="48">
        <v>0</v>
      </c>
      <c r="F465" s="48">
        <v>0</v>
      </c>
      <c r="G465" s="48">
        <v>0</v>
      </c>
    </row>
    <row r="466" spans="1:8" x14ac:dyDescent="0.2">
      <c r="A466" s="116" t="s">
        <v>900</v>
      </c>
      <c r="B466" s="116"/>
      <c r="C466" s="48"/>
      <c r="D466" s="296">
        <f>C470/4</f>
        <v>-25000</v>
      </c>
      <c r="E466" s="296">
        <f>D466</f>
        <v>-25000</v>
      </c>
      <c r="F466" s="296">
        <f>E466</f>
        <v>-25000</v>
      </c>
      <c r="G466" s="296">
        <f>F466</f>
        <v>-25000</v>
      </c>
    </row>
    <row r="467" spans="1:8" x14ac:dyDescent="0.2">
      <c r="A467" s="116" t="s">
        <v>901</v>
      </c>
      <c r="B467" s="116"/>
      <c r="C467" s="48"/>
      <c r="D467" s="297">
        <f>SUM(D464:D466)</f>
        <v>35000</v>
      </c>
      <c r="E467" s="297">
        <f>SUM(E464:E466)</f>
        <v>35000</v>
      </c>
      <c r="F467" s="297">
        <f>SUM(F464:F466)</f>
        <v>35000</v>
      </c>
      <c r="G467" s="297">
        <f>SUM(G464:G466)</f>
        <v>35000</v>
      </c>
    </row>
    <row r="468" spans="1:8" s="116" customFormat="1" x14ac:dyDescent="0.2">
      <c r="A468" s="116" t="s">
        <v>976</v>
      </c>
      <c r="C468" s="48"/>
      <c r="D468" s="296">
        <f>-23%*D467</f>
        <v>-8050</v>
      </c>
      <c r="E468" s="296">
        <f>-23%*E467</f>
        <v>-8050</v>
      </c>
      <c r="F468" s="296">
        <f>-23%*F467</f>
        <v>-8050</v>
      </c>
      <c r="G468" s="296">
        <f>-23%*G467</f>
        <v>-8050</v>
      </c>
    </row>
    <row r="469" spans="1:8" s="116" customFormat="1" x14ac:dyDescent="0.2">
      <c r="A469" s="116" t="s">
        <v>977</v>
      </c>
      <c r="C469" s="48"/>
      <c r="D469" s="297">
        <f>D467+D468</f>
        <v>26950</v>
      </c>
      <c r="E469" s="297">
        <f>E467+E468</f>
        <v>26950</v>
      </c>
      <c r="F469" s="297">
        <f>F467+F468</f>
        <v>26950</v>
      </c>
      <c r="G469" s="297">
        <f>G467+G468</f>
        <v>26950</v>
      </c>
    </row>
    <row r="470" spans="1:8" x14ac:dyDescent="0.2">
      <c r="A470" s="116" t="s">
        <v>903</v>
      </c>
      <c r="B470" s="116"/>
      <c r="C470" s="171">
        <v>-100000</v>
      </c>
      <c r="D470" s="218"/>
      <c r="E470" s="218"/>
      <c r="F470" s="218"/>
      <c r="G470" s="218"/>
    </row>
    <row r="471" spans="1:8" s="116" customFormat="1" x14ac:dyDescent="0.2">
      <c r="A471" s="116" t="s">
        <v>981</v>
      </c>
      <c r="C471" s="48"/>
      <c r="D471" s="48"/>
      <c r="E471" s="48"/>
      <c r="F471" s="48"/>
      <c r="G471" s="119">
        <f>D508</f>
        <v>15400</v>
      </c>
    </row>
    <row r="472" spans="1:8" x14ac:dyDescent="0.2">
      <c r="A472" s="116" t="s">
        <v>904</v>
      </c>
      <c r="B472" s="116"/>
      <c r="C472" s="48"/>
      <c r="D472" s="171">
        <f>-D466</f>
        <v>25000</v>
      </c>
      <c r="E472" s="171">
        <f>-E466</f>
        <v>25000</v>
      </c>
      <c r="F472" s="171">
        <f>-F466</f>
        <v>25000</v>
      </c>
      <c r="G472" s="171">
        <f>-G466</f>
        <v>25000</v>
      </c>
    </row>
    <row r="473" spans="1:8" s="116" customFormat="1" x14ac:dyDescent="0.2">
      <c r="A473" s="134" t="s">
        <v>905</v>
      </c>
      <c r="B473" s="134"/>
      <c r="C473" s="304">
        <f>SUM(C469:C472)</f>
        <v>-100000</v>
      </c>
      <c r="D473" s="304">
        <f>SUM(D469:D472)</f>
        <v>51950</v>
      </c>
      <c r="E473" s="304">
        <f>SUM(E469:E472)</f>
        <v>51950</v>
      </c>
      <c r="F473" s="304">
        <f>SUM(F469:F472)</f>
        <v>51950</v>
      </c>
      <c r="G473" s="304">
        <f>SUM(G469:G472)</f>
        <v>67350</v>
      </c>
    </row>
    <row r="475" spans="1:8" x14ac:dyDescent="0.2">
      <c r="G475" s="1" t="s">
        <v>84</v>
      </c>
    </row>
    <row r="476" spans="1:8" x14ac:dyDescent="0.2">
      <c r="F476" s="1">
        <v>11</v>
      </c>
      <c r="G476" s="1" t="s">
        <v>1000</v>
      </c>
      <c r="H476" s="1" t="s">
        <v>2252</v>
      </c>
    </row>
    <row r="477" spans="1:8" x14ac:dyDescent="0.2">
      <c r="D477" s="20" t="s">
        <v>87</v>
      </c>
      <c r="E477" s="20"/>
      <c r="G477" s="1" t="s">
        <v>1001</v>
      </c>
    </row>
    <row r="478" spans="1:8" x14ac:dyDescent="0.2">
      <c r="D478" s="101">
        <f>C473</f>
        <v>-100000</v>
      </c>
      <c r="E478" s="20">
        <v>1</v>
      </c>
    </row>
    <row r="479" spans="1:8" x14ac:dyDescent="0.2">
      <c r="D479" s="101">
        <f>D473</f>
        <v>51950</v>
      </c>
      <c r="E479" s="20">
        <v>2</v>
      </c>
    </row>
    <row r="480" spans="1:8" x14ac:dyDescent="0.2">
      <c r="D480" s="101">
        <f>E473</f>
        <v>51950</v>
      </c>
      <c r="E480" s="20">
        <v>3</v>
      </c>
    </row>
    <row r="481" spans="1:14" x14ac:dyDescent="0.2">
      <c r="D481" s="101">
        <f>D480</f>
        <v>51950</v>
      </c>
      <c r="E481" s="20">
        <v>4</v>
      </c>
    </row>
    <row r="482" spans="1:14" x14ac:dyDescent="0.2">
      <c r="D482" s="101">
        <f>G473</f>
        <v>67350</v>
      </c>
      <c r="E482" s="20">
        <v>5</v>
      </c>
    </row>
    <row r="484" spans="1:14" x14ac:dyDescent="0.2">
      <c r="A484" s="1" t="s">
        <v>1002</v>
      </c>
      <c r="F484" s="108">
        <f>NPV(F476/100,D479:D482)+D478</f>
        <v>71316.510576080589</v>
      </c>
      <c r="G484" s="1" t="s">
        <v>962</v>
      </c>
    </row>
    <row r="486" spans="1:14" x14ac:dyDescent="0.2">
      <c r="A486" s="63" t="s">
        <v>2253</v>
      </c>
      <c r="B486" s="63"/>
      <c r="C486" s="63"/>
      <c r="D486" s="63"/>
      <c r="E486" s="63"/>
      <c r="F486" s="63"/>
      <c r="G486" s="307" t="s">
        <v>834</v>
      </c>
    </row>
    <row r="488" spans="1:14" x14ac:dyDescent="0.2">
      <c r="A488" s="1" t="s">
        <v>982</v>
      </c>
      <c r="M488" s="89"/>
      <c r="N488" s="25"/>
    </row>
    <row r="489" spans="1:14" x14ac:dyDescent="0.2">
      <c r="M489" s="25"/>
    </row>
    <row r="490" spans="1:14" x14ac:dyDescent="0.2">
      <c r="A490" s="1" t="s">
        <v>983</v>
      </c>
    </row>
    <row r="491" spans="1:14" x14ac:dyDescent="0.2">
      <c r="A491" s="1" t="s">
        <v>984</v>
      </c>
      <c r="N491" s="37"/>
    </row>
    <row r="493" spans="1:14" x14ac:dyDescent="0.2">
      <c r="A493" s="1" t="s">
        <v>985</v>
      </c>
    </row>
    <row r="495" spans="1:14" x14ac:dyDescent="0.2">
      <c r="A495" s="1" t="s">
        <v>986</v>
      </c>
      <c r="N495" s="25"/>
    </row>
    <row r="496" spans="1:14" x14ac:dyDescent="0.2">
      <c r="B496" s="1" t="s">
        <v>989</v>
      </c>
      <c r="D496" s="24">
        <v>100000</v>
      </c>
    </row>
    <row r="497" spans="1:13" x14ac:dyDescent="0.2">
      <c r="B497" s="1" t="s">
        <v>987</v>
      </c>
      <c r="D497" s="102">
        <f>-D496</f>
        <v>-100000</v>
      </c>
      <c r="F497" s="1" t="s">
        <v>988</v>
      </c>
    </row>
    <row r="498" spans="1:13" x14ac:dyDescent="0.2">
      <c r="B498" s="1" t="s">
        <v>990</v>
      </c>
      <c r="D498" s="103">
        <f>D496+D497</f>
        <v>0</v>
      </c>
      <c r="M498" s="25"/>
    </row>
    <row r="500" spans="1:13" x14ac:dyDescent="0.2">
      <c r="A500" s="1" t="s">
        <v>991</v>
      </c>
    </row>
    <row r="502" spans="1:13" x14ac:dyDescent="0.2">
      <c r="B502" s="1" t="s">
        <v>992</v>
      </c>
      <c r="D502" s="24">
        <v>20000</v>
      </c>
    </row>
    <row r="503" spans="1:13" x14ac:dyDescent="0.2">
      <c r="B503" s="1" t="s">
        <v>993</v>
      </c>
      <c r="D503" s="24">
        <f>D498</f>
        <v>0</v>
      </c>
    </row>
    <row r="504" spans="1:13" x14ac:dyDescent="0.2">
      <c r="B504" s="1" t="s">
        <v>994</v>
      </c>
      <c r="D504" s="103">
        <f>D502-D503</f>
        <v>20000</v>
      </c>
    </row>
    <row r="505" spans="1:13" x14ac:dyDescent="0.2">
      <c r="B505" s="1" t="s">
        <v>995</v>
      </c>
      <c r="D505" s="51">
        <v>0.23</v>
      </c>
    </row>
    <row r="506" spans="1:13" x14ac:dyDescent="0.2">
      <c r="B506" s="1" t="s">
        <v>996</v>
      </c>
      <c r="D506" s="105">
        <f>-23%*D504</f>
        <v>-4600</v>
      </c>
      <c r="F506" s="1" t="s">
        <v>997</v>
      </c>
    </row>
    <row r="508" spans="1:13" x14ac:dyDescent="0.2">
      <c r="B508" s="1" t="s">
        <v>998</v>
      </c>
      <c r="D508" s="24">
        <f>D504+D506</f>
        <v>15400</v>
      </c>
      <c r="F508" s="1" t="s">
        <v>999</v>
      </c>
    </row>
  </sheetData>
  <mergeCells count="9">
    <mergeCell ref="I421:I422"/>
    <mergeCell ref="A1:H1"/>
    <mergeCell ref="A304:H304"/>
    <mergeCell ref="D421:D422"/>
    <mergeCell ref="E421:E422"/>
    <mergeCell ref="F421:F422"/>
    <mergeCell ref="G421:G422"/>
    <mergeCell ref="H421:H422"/>
    <mergeCell ref="B290:C290"/>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F73E7F-020F-B042-BC3F-9D150F37B6A9}">
  <dimension ref="A1:W989"/>
  <sheetViews>
    <sheetView rightToLeft="1" topLeftCell="A87" zoomScale="229" zoomScaleNormal="320" workbookViewId="0">
      <selection activeCell="C514" sqref="C514"/>
    </sheetView>
  </sheetViews>
  <sheetFormatPr baseColWidth="10" defaultRowHeight="16" x14ac:dyDescent="0.2"/>
  <cols>
    <col min="1" max="2" width="10.83203125" style="1"/>
    <col min="3" max="3" width="11.33203125" style="1" customWidth="1"/>
    <col min="4" max="5" width="10.83203125" style="1"/>
    <col min="6" max="6" width="11.6640625" style="1" bestFit="1" customWidth="1"/>
    <col min="7" max="10" width="10.83203125" style="1"/>
    <col min="11" max="11" width="11" style="1" customWidth="1"/>
    <col min="12" max="15" width="10.83203125" style="1"/>
    <col min="16" max="16" width="4" style="1" customWidth="1"/>
    <col min="17" max="17" width="12.1640625" style="1" customWidth="1"/>
    <col min="18" max="16384" width="10.83203125" style="1"/>
  </cols>
  <sheetData>
    <row r="1" spans="1:9" x14ac:dyDescent="0.2">
      <c r="A1" s="477" t="s">
        <v>1249</v>
      </c>
      <c r="B1" s="477"/>
      <c r="C1" s="477"/>
      <c r="D1" s="477"/>
      <c r="E1" s="477"/>
      <c r="F1" s="477"/>
      <c r="G1" s="477"/>
      <c r="H1" s="477"/>
      <c r="I1" s="18" t="s">
        <v>2570</v>
      </c>
    </row>
    <row r="2" spans="1:9" x14ac:dyDescent="0.2">
      <c r="A2" s="26"/>
      <c r="B2" s="26"/>
      <c r="C2" s="26"/>
      <c r="D2" s="26"/>
      <c r="E2" s="26"/>
      <c r="F2" s="26"/>
      <c r="G2" s="26"/>
      <c r="H2" s="26"/>
    </row>
    <row r="3" spans="1:9" x14ac:dyDescent="0.2">
      <c r="A3" s="20" t="s">
        <v>2256</v>
      </c>
      <c r="B3" s="20" t="s">
        <v>1606</v>
      </c>
      <c r="C3" s="26"/>
      <c r="D3" s="26"/>
      <c r="E3" s="26"/>
      <c r="F3" s="26"/>
      <c r="G3" s="26"/>
      <c r="H3" s="26"/>
    </row>
    <row r="4" spans="1:9" x14ac:dyDescent="0.2">
      <c r="A4" s="20">
        <v>1</v>
      </c>
      <c r="B4" s="29" t="s">
        <v>2257</v>
      </c>
      <c r="C4" s="26"/>
      <c r="D4" s="26"/>
      <c r="E4" s="26"/>
      <c r="F4" s="26"/>
      <c r="G4" s="26"/>
      <c r="H4" s="26"/>
    </row>
    <row r="5" spans="1:9" x14ac:dyDescent="0.2">
      <c r="A5" s="20">
        <f>A4+1</f>
        <v>2</v>
      </c>
      <c r="B5" s="29" t="s">
        <v>2258</v>
      </c>
      <c r="C5" s="26"/>
      <c r="D5" s="26"/>
      <c r="E5" s="26"/>
      <c r="F5" s="26"/>
      <c r="G5" s="26"/>
      <c r="H5" s="26"/>
    </row>
    <row r="6" spans="1:9" x14ac:dyDescent="0.2">
      <c r="A6" s="20">
        <f t="shared" ref="A6:A18" si="0">A5+1</f>
        <v>3</v>
      </c>
      <c r="B6" s="29" t="s">
        <v>2259</v>
      </c>
      <c r="C6" s="26"/>
      <c r="D6" s="26"/>
      <c r="E6" s="26"/>
      <c r="F6" s="26"/>
      <c r="G6" s="26"/>
      <c r="H6" s="26"/>
    </row>
    <row r="7" spans="1:9" x14ac:dyDescent="0.2">
      <c r="A7" s="20">
        <f t="shared" si="0"/>
        <v>4</v>
      </c>
      <c r="B7" s="29" t="s">
        <v>2260</v>
      </c>
      <c r="C7" s="26"/>
      <c r="D7" s="26"/>
      <c r="E7" s="26"/>
      <c r="F7" s="26"/>
      <c r="G7" s="26"/>
      <c r="H7" s="26"/>
    </row>
    <row r="8" spans="1:9" x14ac:dyDescent="0.2">
      <c r="A8" s="20">
        <f t="shared" si="0"/>
        <v>5</v>
      </c>
      <c r="B8" s="29" t="s">
        <v>2261</v>
      </c>
      <c r="C8" s="26"/>
      <c r="D8" s="26"/>
      <c r="E8" s="26"/>
      <c r="F8" s="26"/>
      <c r="G8" s="26"/>
      <c r="H8" s="26"/>
    </row>
    <row r="9" spans="1:9" x14ac:dyDescent="0.2">
      <c r="A9" s="20">
        <f t="shared" si="0"/>
        <v>6</v>
      </c>
      <c r="B9" s="29" t="s">
        <v>2262</v>
      </c>
      <c r="C9" s="26"/>
      <c r="D9" s="26"/>
      <c r="E9" s="26"/>
      <c r="F9" s="26"/>
      <c r="G9" s="26"/>
      <c r="H9" s="26"/>
    </row>
    <row r="10" spans="1:9" x14ac:dyDescent="0.2">
      <c r="A10" s="20">
        <f t="shared" si="0"/>
        <v>7</v>
      </c>
      <c r="B10" s="29" t="s">
        <v>2263</v>
      </c>
      <c r="C10" s="26"/>
      <c r="D10" s="26"/>
      <c r="E10" s="26"/>
      <c r="F10" s="26"/>
      <c r="G10" s="26"/>
      <c r="H10" s="26"/>
    </row>
    <row r="11" spans="1:9" x14ac:dyDescent="0.2">
      <c r="A11" s="20">
        <f t="shared" si="0"/>
        <v>8</v>
      </c>
      <c r="B11" s="29" t="s">
        <v>2264</v>
      </c>
      <c r="C11" s="26"/>
      <c r="D11" s="26"/>
      <c r="E11" s="26"/>
      <c r="F11" s="26"/>
      <c r="G11" s="26"/>
      <c r="H11" s="26"/>
    </row>
    <row r="12" spans="1:9" x14ac:dyDescent="0.2">
      <c r="A12" s="20">
        <f t="shared" si="0"/>
        <v>9</v>
      </c>
      <c r="B12" s="29" t="s">
        <v>2265</v>
      </c>
      <c r="C12" s="26"/>
      <c r="D12" s="26"/>
      <c r="E12" s="26"/>
      <c r="F12" s="26"/>
      <c r="G12" s="26"/>
      <c r="H12" s="26"/>
    </row>
    <row r="13" spans="1:9" x14ac:dyDescent="0.2">
      <c r="A13" s="20">
        <f t="shared" si="0"/>
        <v>10</v>
      </c>
      <c r="B13" s="29" t="s">
        <v>2266</v>
      </c>
      <c r="C13" s="26"/>
      <c r="D13" s="26"/>
      <c r="E13" s="26"/>
      <c r="F13" s="26"/>
      <c r="G13" s="26"/>
      <c r="H13" s="26"/>
    </row>
    <row r="14" spans="1:9" x14ac:dyDescent="0.2">
      <c r="A14" s="20">
        <f t="shared" si="0"/>
        <v>11</v>
      </c>
      <c r="B14" s="29" t="s">
        <v>2267</v>
      </c>
      <c r="C14" s="26"/>
      <c r="D14" s="26"/>
      <c r="E14" s="26"/>
      <c r="F14" s="26"/>
      <c r="G14" s="26"/>
      <c r="H14" s="26"/>
    </row>
    <row r="15" spans="1:9" x14ac:dyDescent="0.2">
      <c r="A15" s="20">
        <f t="shared" si="0"/>
        <v>12</v>
      </c>
      <c r="B15" s="29" t="s">
        <v>2268</v>
      </c>
      <c r="C15" s="26"/>
      <c r="D15" s="26"/>
      <c r="E15" s="26"/>
      <c r="F15" s="26"/>
      <c r="G15" s="26"/>
      <c r="H15" s="26"/>
    </row>
    <row r="16" spans="1:9" x14ac:dyDescent="0.2">
      <c r="A16" s="20">
        <f>A15+1</f>
        <v>13</v>
      </c>
      <c r="B16" s="29" t="s">
        <v>2269</v>
      </c>
      <c r="C16" s="26"/>
      <c r="D16" s="26"/>
      <c r="E16" s="26"/>
      <c r="F16" s="26"/>
      <c r="G16" s="26"/>
      <c r="H16" s="26"/>
    </row>
    <row r="17" spans="1:8" x14ac:dyDescent="0.2">
      <c r="A17" s="20">
        <f t="shared" si="0"/>
        <v>14</v>
      </c>
      <c r="B17" s="20" t="s">
        <v>2270</v>
      </c>
      <c r="C17" s="26"/>
      <c r="D17" s="26"/>
      <c r="E17" s="26"/>
      <c r="F17" s="26"/>
      <c r="G17" s="26"/>
      <c r="H17" s="26"/>
    </row>
    <row r="18" spans="1:8" x14ac:dyDescent="0.2">
      <c r="A18" s="20">
        <f t="shared" si="0"/>
        <v>15</v>
      </c>
      <c r="B18" s="29" t="s">
        <v>2271</v>
      </c>
      <c r="C18" s="26"/>
      <c r="D18" s="26"/>
      <c r="E18" s="26"/>
      <c r="F18" s="26"/>
      <c r="G18" s="26"/>
      <c r="H18" s="26"/>
    </row>
    <row r="19" spans="1:8" x14ac:dyDescent="0.2">
      <c r="A19" s="26"/>
      <c r="B19" s="26"/>
      <c r="C19" s="26"/>
      <c r="D19" s="26"/>
      <c r="E19" s="26"/>
      <c r="F19" s="26"/>
      <c r="G19" s="26"/>
      <c r="H19" s="26"/>
    </row>
    <row r="22" spans="1:8" x14ac:dyDescent="0.2">
      <c r="E22" s="1" t="s">
        <v>2254</v>
      </c>
    </row>
    <row r="23" spans="1:8" x14ac:dyDescent="0.2">
      <c r="E23" s="1" t="s">
        <v>2255</v>
      </c>
    </row>
    <row r="37" spans="1:23" x14ac:dyDescent="0.2">
      <c r="A37" s="151" t="s">
        <v>911</v>
      </c>
      <c r="B37" s="152"/>
      <c r="C37" s="152"/>
      <c r="D37" s="152"/>
      <c r="E37" s="152"/>
      <c r="F37" s="152"/>
      <c r="G37" s="152"/>
      <c r="H37" s="152"/>
    </row>
    <row r="38" spans="1:23" ht="17" thickBot="1" x14ac:dyDescent="0.25">
      <c r="A38" s="18"/>
    </row>
    <row r="39" spans="1:23" x14ac:dyDescent="0.2">
      <c r="A39" s="18"/>
      <c r="J39" s="132" t="s">
        <v>2567</v>
      </c>
      <c r="K39" s="336"/>
      <c r="L39" s="336"/>
      <c r="M39" s="336"/>
      <c r="N39" s="336"/>
      <c r="O39" s="336"/>
      <c r="P39" s="336"/>
      <c r="Q39" s="336"/>
      <c r="R39" s="336"/>
      <c r="S39" s="336"/>
      <c r="T39" s="336"/>
      <c r="U39" s="336"/>
      <c r="V39" s="336"/>
      <c r="W39" s="14"/>
    </row>
    <row r="40" spans="1:23" x14ac:dyDescent="0.2">
      <c r="A40" s="18"/>
      <c r="J40" s="72"/>
      <c r="W40" s="73"/>
    </row>
    <row r="41" spans="1:23" x14ac:dyDescent="0.2">
      <c r="A41" s="18"/>
      <c r="J41" s="72"/>
      <c r="W41" s="73"/>
    </row>
    <row r="42" spans="1:23" x14ac:dyDescent="0.2">
      <c r="A42" s="18"/>
      <c r="J42" s="72"/>
      <c r="Q42" s="1" t="s">
        <v>2557</v>
      </c>
      <c r="W42" s="73"/>
    </row>
    <row r="43" spans="1:23" x14ac:dyDescent="0.2">
      <c r="A43" s="18"/>
      <c r="J43" s="72"/>
      <c r="W43" s="73"/>
    </row>
    <row r="44" spans="1:23" x14ac:dyDescent="0.2">
      <c r="A44" s="18"/>
      <c r="J44" s="72"/>
      <c r="W44" s="73"/>
    </row>
    <row r="45" spans="1:23" x14ac:dyDescent="0.2">
      <c r="A45" s="18"/>
      <c r="J45" s="72"/>
      <c r="Q45" s="1" t="s">
        <v>2560</v>
      </c>
      <c r="W45" s="73"/>
    </row>
    <row r="46" spans="1:23" x14ac:dyDescent="0.2">
      <c r="A46" s="18"/>
      <c r="J46" s="72" t="s">
        <v>2554</v>
      </c>
      <c r="Q46" s="1" t="s">
        <v>2558</v>
      </c>
      <c r="S46" s="1">
        <f>400*25%</f>
        <v>100</v>
      </c>
      <c r="U46" s="1" t="s">
        <v>2559</v>
      </c>
      <c r="W46" s="73"/>
    </row>
    <row r="47" spans="1:23" x14ac:dyDescent="0.2">
      <c r="A47" s="18"/>
      <c r="J47" s="72" t="s">
        <v>2555</v>
      </c>
      <c r="W47" s="73"/>
    </row>
    <row r="48" spans="1:23" x14ac:dyDescent="0.2">
      <c r="A48" s="18"/>
      <c r="J48" s="72"/>
      <c r="Q48" s="1" t="s">
        <v>2561</v>
      </c>
      <c r="W48" s="73"/>
    </row>
    <row r="49" spans="1:23" x14ac:dyDescent="0.2">
      <c r="A49" s="18"/>
      <c r="J49" s="72"/>
      <c r="M49" s="1" t="s">
        <v>84</v>
      </c>
      <c r="Q49" s="1" t="s">
        <v>2558</v>
      </c>
      <c r="S49" s="1">
        <f>40</f>
        <v>40</v>
      </c>
      <c r="U49" s="1" t="s">
        <v>2562</v>
      </c>
      <c r="W49" s="73"/>
    </row>
    <row r="50" spans="1:23" x14ac:dyDescent="0.2">
      <c r="A50" s="18"/>
      <c r="J50" s="72"/>
      <c r="L50" s="20">
        <v>6</v>
      </c>
      <c r="M50" s="1" t="s">
        <v>1270</v>
      </c>
      <c r="W50" s="73"/>
    </row>
    <row r="51" spans="1:23" x14ac:dyDescent="0.2">
      <c r="A51" s="18"/>
      <c r="J51" s="72"/>
      <c r="K51" s="20" t="s">
        <v>87</v>
      </c>
      <c r="L51" s="20"/>
      <c r="R51" s="20">
        <v>6</v>
      </c>
      <c r="S51" s="1" t="s">
        <v>1270</v>
      </c>
      <c r="W51" s="73"/>
    </row>
    <row r="52" spans="1:23" x14ac:dyDescent="0.2">
      <c r="A52" s="18"/>
      <c r="J52" s="72"/>
      <c r="K52" s="20">
        <v>-300</v>
      </c>
      <c r="L52" s="20">
        <v>1</v>
      </c>
      <c r="Q52" s="20" t="s">
        <v>87</v>
      </c>
      <c r="R52" s="20"/>
      <c r="W52" s="73"/>
    </row>
    <row r="53" spans="1:23" x14ac:dyDescent="0.2">
      <c r="A53" s="18"/>
      <c r="J53" s="72"/>
      <c r="K53" s="20">
        <v>0</v>
      </c>
      <c r="L53" s="20">
        <v>2</v>
      </c>
      <c r="Q53" s="20">
        <v>0</v>
      </c>
      <c r="R53" s="20">
        <v>1</v>
      </c>
      <c r="W53" s="73"/>
    </row>
    <row r="54" spans="1:23" x14ac:dyDescent="0.2">
      <c r="A54" s="18"/>
      <c r="J54" s="72"/>
      <c r="K54" s="20">
        <v>0</v>
      </c>
      <c r="L54" s="20">
        <v>3</v>
      </c>
      <c r="Q54" s="20">
        <f>100-40</f>
        <v>60</v>
      </c>
      <c r="R54" s="20">
        <v>2</v>
      </c>
      <c r="W54" s="73"/>
    </row>
    <row r="55" spans="1:23" x14ac:dyDescent="0.2">
      <c r="A55" s="18"/>
      <c r="J55" s="72"/>
      <c r="K55" s="20">
        <v>0</v>
      </c>
      <c r="L55" s="20">
        <v>4</v>
      </c>
      <c r="Q55" s="20">
        <f>100-40</f>
        <v>60</v>
      </c>
      <c r="R55" s="20">
        <v>3</v>
      </c>
      <c r="W55" s="73"/>
    </row>
    <row r="56" spans="1:23" x14ac:dyDescent="0.2">
      <c r="A56" s="18"/>
      <c r="J56" s="72"/>
      <c r="K56" s="20">
        <v>0</v>
      </c>
      <c r="L56" s="20">
        <v>5</v>
      </c>
      <c r="Q56" s="20">
        <f>100-40</f>
        <v>60</v>
      </c>
      <c r="R56" s="20">
        <v>4</v>
      </c>
      <c r="W56" s="73"/>
    </row>
    <row r="57" spans="1:23" x14ac:dyDescent="0.2">
      <c r="A57" s="18"/>
      <c r="J57" s="72"/>
      <c r="K57" s="20">
        <v>0</v>
      </c>
      <c r="L57" s="20">
        <v>6</v>
      </c>
      <c r="Q57" s="20">
        <f>100-40</f>
        <v>60</v>
      </c>
      <c r="R57" s="20">
        <v>5</v>
      </c>
      <c r="W57" s="73"/>
    </row>
    <row r="58" spans="1:23" x14ac:dyDescent="0.2">
      <c r="A58" s="18"/>
      <c r="J58" s="72"/>
      <c r="K58" s="20">
        <v>0</v>
      </c>
      <c r="L58" s="20">
        <v>7</v>
      </c>
      <c r="Q58" s="20">
        <f>0-40</f>
        <v>-40</v>
      </c>
      <c r="R58" s="20">
        <v>6</v>
      </c>
      <c r="W58" s="73"/>
    </row>
    <row r="59" spans="1:23" x14ac:dyDescent="0.2">
      <c r="A59" s="18"/>
      <c r="J59" s="72"/>
      <c r="K59" s="20">
        <v>0</v>
      </c>
      <c r="L59" s="20">
        <v>8</v>
      </c>
      <c r="Q59" s="20">
        <f>0-40</f>
        <v>-40</v>
      </c>
      <c r="R59" s="20">
        <v>7</v>
      </c>
      <c r="W59" s="73"/>
    </row>
    <row r="60" spans="1:23" x14ac:dyDescent="0.2">
      <c r="J60" s="72"/>
      <c r="K60" s="20">
        <v>0</v>
      </c>
      <c r="L60" s="20">
        <v>9</v>
      </c>
      <c r="Q60" s="20">
        <f t="shared" ref="Q60:Q63" si="1">0-40</f>
        <v>-40</v>
      </c>
      <c r="R60" s="20">
        <v>8</v>
      </c>
      <c r="W60" s="73"/>
    </row>
    <row r="61" spans="1:23" x14ac:dyDescent="0.2">
      <c r="J61" s="72"/>
      <c r="K61" s="20">
        <v>0</v>
      </c>
      <c r="L61" s="20">
        <v>10</v>
      </c>
      <c r="Q61" s="20">
        <f t="shared" si="1"/>
        <v>-40</v>
      </c>
      <c r="R61" s="20">
        <v>9</v>
      </c>
      <c r="W61" s="73"/>
    </row>
    <row r="62" spans="1:23" x14ac:dyDescent="0.2">
      <c r="J62" s="72"/>
      <c r="K62" s="20">
        <v>300</v>
      </c>
      <c r="L62" s="20">
        <v>11</v>
      </c>
      <c r="Q62" s="20">
        <f t="shared" si="1"/>
        <v>-40</v>
      </c>
      <c r="R62" s="20">
        <v>10</v>
      </c>
      <c r="W62" s="73"/>
    </row>
    <row r="63" spans="1:23" x14ac:dyDescent="0.2">
      <c r="J63" s="72"/>
      <c r="K63" s="50">
        <f>NPV(6%,K53:K62)+K52</f>
        <v>-132.48156692546465</v>
      </c>
      <c r="M63" s="1" t="s">
        <v>2556</v>
      </c>
      <c r="Q63" s="20">
        <f t="shared" si="1"/>
        <v>-40</v>
      </c>
      <c r="R63" s="20">
        <v>11</v>
      </c>
      <c r="W63" s="73"/>
    </row>
    <row r="64" spans="1:23" x14ac:dyDescent="0.2">
      <c r="J64" s="72"/>
      <c r="W64" s="73"/>
    </row>
    <row r="65" spans="1:23" x14ac:dyDescent="0.2">
      <c r="J65" s="72"/>
      <c r="Q65" s="50">
        <f>NPV(6%,Q54:Q63)+Q53</f>
        <v>52.107079213377816</v>
      </c>
      <c r="S65" s="1" t="s">
        <v>1278</v>
      </c>
      <c r="T65" s="1" t="s">
        <v>2563</v>
      </c>
      <c r="W65" s="73"/>
    </row>
    <row r="66" spans="1:23" x14ac:dyDescent="0.2">
      <c r="J66" s="72"/>
      <c r="W66" s="73"/>
    </row>
    <row r="67" spans="1:23" ht="21" x14ac:dyDescent="0.25">
      <c r="A67" s="337" t="s">
        <v>2568</v>
      </c>
      <c r="J67" s="72"/>
      <c r="W67" s="73"/>
    </row>
    <row r="68" spans="1:23" x14ac:dyDescent="0.2">
      <c r="A68" s="1" t="s">
        <v>2272</v>
      </c>
      <c r="J68" s="72"/>
      <c r="W68" s="73"/>
    </row>
    <row r="69" spans="1:23" x14ac:dyDescent="0.2">
      <c r="A69" s="1" t="s">
        <v>2273</v>
      </c>
      <c r="J69" s="72"/>
      <c r="W69" s="73"/>
    </row>
    <row r="70" spans="1:23" x14ac:dyDescent="0.2">
      <c r="A70" s="1" t="s">
        <v>2274</v>
      </c>
      <c r="J70" s="72"/>
      <c r="M70" s="1" t="s">
        <v>2564</v>
      </c>
      <c r="O70" s="32">
        <f>Q65+K63</f>
        <v>-80.374487712086832</v>
      </c>
      <c r="W70" s="73"/>
    </row>
    <row r="71" spans="1:23" x14ac:dyDescent="0.2">
      <c r="A71" s="1" t="s">
        <v>2275</v>
      </c>
      <c r="J71" s="72"/>
      <c r="M71" s="1" t="s">
        <v>2565</v>
      </c>
      <c r="O71" s="1">
        <v>1100</v>
      </c>
      <c r="W71" s="73"/>
    </row>
    <row r="72" spans="1:23" ht="17" thickBot="1" x14ac:dyDescent="0.25">
      <c r="J72" s="15"/>
      <c r="K72" s="16"/>
      <c r="L72" s="16"/>
      <c r="M72" s="16" t="s">
        <v>2566</v>
      </c>
      <c r="N72" s="16"/>
      <c r="O72" s="335">
        <f>O70+O71</f>
        <v>1019.6255122879131</v>
      </c>
      <c r="P72" s="16"/>
      <c r="Q72" s="16"/>
      <c r="R72" s="16"/>
      <c r="S72" s="16"/>
      <c r="T72" s="16"/>
      <c r="U72" s="16"/>
      <c r="V72" s="16"/>
      <c r="W72" s="17"/>
    </row>
    <row r="73" spans="1:23" x14ac:dyDescent="0.2">
      <c r="A73" s="1" t="s">
        <v>2276</v>
      </c>
    </row>
    <row r="75" spans="1:23" x14ac:dyDescent="0.2">
      <c r="A75" s="1" t="s">
        <v>2279</v>
      </c>
      <c r="D75" s="27">
        <v>0</v>
      </c>
      <c r="E75" s="27">
        <v>1</v>
      </c>
      <c r="F75" s="27">
        <f>E75+1</f>
        <v>2</v>
      </c>
      <c r="G75" s="27">
        <f t="shared" ref="G75:N75" si="2">F75+1</f>
        <v>3</v>
      </c>
      <c r="H75" s="27">
        <f t="shared" si="2"/>
        <v>4</v>
      </c>
      <c r="I75" s="27">
        <f t="shared" si="2"/>
        <v>5</v>
      </c>
      <c r="J75" s="27">
        <f t="shared" si="2"/>
        <v>6</v>
      </c>
      <c r="K75" s="27">
        <f t="shared" si="2"/>
        <v>7</v>
      </c>
      <c r="L75" s="27">
        <f t="shared" si="2"/>
        <v>8</v>
      </c>
      <c r="M75" s="27">
        <f>L75+1</f>
        <v>9</v>
      </c>
      <c r="N75" s="27">
        <f t="shared" si="2"/>
        <v>10</v>
      </c>
    </row>
    <row r="76" spans="1:23" x14ac:dyDescent="0.2">
      <c r="A76" s="1" t="s">
        <v>2277</v>
      </c>
      <c r="E76" s="20">
        <f>1600/10</f>
        <v>160</v>
      </c>
      <c r="F76" s="20">
        <f>E76</f>
        <v>160</v>
      </c>
      <c r="G76" s="20">
        <f t="shared" ref="G76:N76" si="3">F76</f>
        <v>160</v>
      </c>
      <c r="H76" s="20">
        <f t="shared" si="3"/>
        <v>160</v>
      </c>
      <c r="I76" s="20">
        <f t="shared" si="3"/>
        <v>160</v>
      </c>
      <c r="J76" s="20">
        <f t="shared" si="3"/>
        <v>160</v>
      </c>
      <c r="K76" s="20">
        <f t="shared" si="3"/>
        <v>160</v>
      </c>
      <c r="L76" s="20">
        <f t="shared" si="3"/>
        <v>160</v>
      </c>
      <c r="M76" s="20">
        <f t="shared" si="3"/>
        <v>160</v>
      </c>
      <c r="N76" s="20">
        <f t="shared" si="3"/>
        <v>160</v>
      </c>
    </row>
    <row r="77" spans="1:23" x14ac:dyDescent="0.2">
      <c r="A77" s="1" t="s">
        <v>2278</v>
      </c>
      <c r="E77" s="20">
        <f>1600/4</f>
        <v>400</v>
      </c>
      <c r="F77" s="20">
        <f>1600/4</f>
        <v>400</v>
      </c>
      <c r="G77" s="20">
        <f>1600/4</f>
        <v>400</v>
      </c>
      <c r="H77" s="20">
        <f>1600/4</f>
        <v>400</v>
      </c>
      <c r="I77" s="20"/>
      <c r="J77" s="20"/>
      <c r="K77" s="20"/>
      <c r="L77" s="20"/>
      <c r="M77" s="20"/>
      <c r="N77" s="20"/>
    </row>
    <row r="78" spans="1:23" x14ac:dyDescent="0.2">
      <c r="A78" s="1" t="s">
        <v>2282</v>
      </c>
      <c r="E78" s="98">
        <f>E77-E76</f>
        <v>240</v>
      </c>
      <c r="F78" s="98">
        <f>F77-F76</f>
        <v>240</v>
      </c>
      <c r="G78" s="98">
        <f>G77-G76</f>
        <v>240</v>
      </c>
      <c r="H78" s="98">
        <f>H77-H76</f>
        <v>240</v>
      </c>
      <c r="I78" s="98">
        <v>-160</v>
      </c>
      <c r="J78" s="98">
        <v>-160</v>
      </c>
      <c r="K78" s="98">
        <v>-160</v>
      </c>
      <c r="L78" s="98">
        <v>-160</v>
      </c>
      <c r="M78" s="98">
        <v>-160</v>
      </c>
      <c r="N78" s="98">
        <v>-160</v>
      </c>
    </row>
    <row r="79" spans="1:23" x14ac:dyDescent="0.2">
      <c r="A79" s="1" t="s">
        <v>2280</v>
      </c>
      <c r="E79" s="51">
        <v>0.25</v>
      </c>
      <c r="F79" s="51">
        <v>0.25</v>
      </c>
      <c r="G79" s="51">
        <v>0.25</v>
      </c>
      <c r="H79" s="51">
        <v>0.25</v>
      </c>
      <c r="I79" s="51">
        <v>0.25</v>
      </c>
      <c r="J79" s="51">
        <v>0.25</v>
      </c>
      <c r="K79" s="51">
        <v>0.25</v>
      </c>
      <c r="L79" s="51">
        <v>0.25</v>
      </c>
      <c r="M79" s="51">
        <v>0.25</v>
      </c>
      <c r="N79" s="51">
        <v>0.25</v>
      </c>
    </row>
    <row r="80" spans="1:23" x14ac:dyDescent="0.2">
      <c r="A80" s="1" t="s">
        <v>2281</v>
      </c>
      <c r="E80" s="308">
        <f>E78*E79</f>
        <v>60</v>
      </c>
      <c r="F80" s="308">
        <f>F78*F79</f>
        <v>60</v>
      </c>
      <c r="G80" s="308">
        <f>G78*G79</f>
        <v>60</v>
      </c>
      <c r="H80" s="308">
        <f>H78*H79</f>
        <v>60</v>
      </c>
      <c r="I80" s="308">
        <f>I78*I79</f>
        <v>-40</v>
      </c>
      <c r="J80" s="308">
        <f t="shared" ref="J80:N80" si="4">J78*J79</f>
        <v>-40</v>
      </c>
      <c r="K80" s="308">
        <f t="shared" si="4"/>
        <v>-40</v>
      </c>
      <c r="L80" s="308">
        <f t="shared" si="4"/>
        <v>-40</v>
      </c>
      <c r="M80" s="308">
        <f t="shared" si="4"/>
        <v>-40</v>
      </c>
      <c r="N80" s="308">
        <f t="shared" si="4"/>
        <v>-40</v>
      </c>
    </row>
    <row r="82" spans="1:14" x14ac:dyDescent="0.2">
      <c r="A82" s="1" t="s">
        <v>2283</v>
      </c>
      <c r="D82" s="69">
        <v>-300</v>
      </c>
      <c r="F82" s="20"/>
      <c r="G82" s="20"/>
      <c r="H82" s="20"/>
      <c r="I82" s="20"/>
      <c r="J82" s="20"/>
      <c r="K82" s="20"/>
      <c r="L82" s="20"/>
      <c r="M82" s="20"/>
      <c r="N82" s="69">
        <f>-D82</f>
        <v>300</v>
      </c>
    </row>
    <row r="84" spans="1:14" x14ac:dyDescent="0.2">
      <c r="A84" s="1" t="s">
        <v>2290</v>
      </c>
      <c r="D84" s="309">
        <f>D82</f>
        <v>-300</v>
      </c>
      <c r="E84" s="309">
        <f>E80</f>
        <v>60</v>
      </c>
      <c r="F84" s="309">
        <f t="shared" ref="F84:N84" si="5">F80+F82</f>
        <v>60</v>
      </c>
      <c r="G84" s="309">
        <f t="shared" si="5"/>
        <v>60</v>
      </c>
      <c r="H84" s="309">
        <f t="shared" si="5"/>
        <v>60</v>
      </c>
      <c r="I84" s="309">
        <f t="shared" si="5"/>
        <v>-40</v>
      </c>
      <c r="J84" s="309">
        <f t="shared" si="5"/>
        <v>-40</v>
      </c>
      <c r="K84" s="309">
        <f t="shared" si="5"/>
        <v>-40</v>
      </c>
      <c r="L84" s="309">
        <f t="shared" si="5"/>
        <v>-40</v>
      </c>
      <c r="M84" s="309">
        <f t="shared" si="5"/>
        <v>-40</v>
      </c>
      <c r="N84" s="309">
        <f t="shared" si="5"/>
        <v>260</v>
      </c>
    </row>
    <row r="88" spans="1:14" x14ac:dyDescent="0.2">
      <c r="A88" s="1" t="s">
        <v>834</v>
      </c>
      <c r="B88" s="1" t="s">
        <v>2284</v>
      </c>
    </row>
    <row r="89" spans="1:14" x14ac:dyDescent="0.2">
      <c r="B89" s="1" t="s">
        <v>2285</v>
      </c>
    </row>
    <row r="90" spans="1:14" x14ac:dyDescent="0.2">
      <c r="B90" s="1" t="s">
        <v>2286</v>
      </c>
    </row>
    <row r="91" spans="1:14" x14ac:dyDescent="0.2">
      <c r="B91" s="18" t="s">
        <v>2287</v>
      </c>
      <c r="C91" s="18"/>
      <c r="D91" s="18"/>
      <c r="E91" s="18"/>
      <c r="F91" s="18"/>
      <c r="G91" s="18"/>
    </row>
    <row r="92" spans="1:14" x14ac:dyDescent="0.2">
      <c r="B92" s="1" t="s">
        <v>2288</v>
      </c>
    </row>
    <row r="93" spans="1:14" x14ac:dyDescent="0.2">
      <c r="B93" s="1" t="s">
        <v>2289</v>
      </c>
    </row>
    <row r="96" spans="1:14" x14ac:dyDescent="0.2">
      <c r="A96" s="1" t="s">
        <v>2291</v>
      </c>
    </row>
    <row r="97" spans="1:10" x14ac:dyDescent="0.2">
      <c r="A97" s="1" t="s">
        <v>2292</v>
      </c>
    </row>
    <row r="99" spans="1:10" x14ac:dyDescent="0.2">
      <c r="I99" s="1" t="s">
        <v>959</v>
      </c>
    </row>
    <row r="100" spans="1:10" x14ac:dyDescent="0.2">
      <c r="H100" s="1">
        <v>6</v>
      </c>
      <c r="I100" s="1" t="s">
        <v>1270</v>
      </c>
      <c r="J100" s="1" t="s">
        <v>2293</v>
      </c>
    </row>
    <row r="101" spans="1:10" x14ac:dyDescent="0.2">
      <c r="F101" s="20" t="s">
        <v>87</v>
      </c>
      <c r="I101" s="1" t="s">
        <v>2294</v>
      </c>
    </row>
    <row r="102" spans="1:10" x14ac:dyDescent="0.2">
      <c r="B102" s="489" t="s">
        <v>2300</v>
      </c>
      <c r="C102" s="490"/>
      <c r="D102" s="490"/>
      <c r="E102" s="491"/>
      <c r="F102" s="20">
        <v>-300</v>
      </c>
      <c r="G102" s="1">
        <v>1</v>
      </c>
    </row>
    <row r="103" spans="1:10" x14ac:dyDescent="0.2">
      <c r="B103" s="481" t="s">
        <v>2301</v>
      </c>
      <c r="C103" s="482"/>
      <c r="D103" s="482"/>
      <c r="E103" s="483"/>
      <c r="F103" s="20">
        <v>60</v>
      </c>
      <c r="G103" s="1">
        <v>2</v>
      </c>
    </row>
    <row r="104" spans="1:10" x14ac:dyDescent="0.2">
      <c r="B104" s="484"/>
      <c r="C104" s="461"/>
      <c r="D104" s="461"/>
      <c r="E104" s="485"/>
      <c r="F104" s="20">
        <v>60</v>
      </c>
      <c r="G104" s="1">
        <v>3</v>
      </c>
    </row>
    <row r="105" spans="1:10" x14ac:dyDescent="0.2">
      <c r="B105" s="484"/>
      <c r="C105" s="461"/>
      <c r="D105" s="461"/>
      <c r="E105" s="485"/>
      <c r="F105" s="20">
        <v>60</v>
      </c>
      <c r="G105" s="1">
        <v>4</v>
      </c>
    </row>
    <row r="106" spans="1:10" x14ac:dyDescent="0.2">
      <c r="B106" s="486"/>
      <c r="C106" s="487"/>
      <c r="D106" s="487"/>
      <c r="E106" s="488"/>
      <c r="F106" s="20">
        <v>60</v>
      </c>
      <c r="G106" s="1">
        <v>5</v>
      </c>
    </row>
    <row r="107" spans="1:10" x14ac:dyDescent="0.2">
      <c r="B107" s="481" t="s">
        <v>2302</v>
      </c>
      <c r="C107" s="482"/>
      <c r="D107" s="482"/>
      <c r="E107" s="483"/>
      <c r="F107" s="20">
        <v>-40</v>
      </c>
      <c r="G107" s="1">
        <v>6</v>
      </c>
    </row>
    <row r="108" spans="1:10" x14ac:dyDescent="0.2">
      <c r="B108" s="484"/>
      <c r="C108" s="461"/>
      <c r="D108" s="461"/>
      <c r="E108" s="485"/>
      <c r="F108" s="20">
        <v>-40</v>
      </c>
      <c r="G108" s="1">
        <v>7</v>
      </c>
    </row>
    <row r="109" spans="1:10" x14ac:dyDescent="0.2">
      <c r="B109" s="484"/>
      <c r="C109" s="461"/>
      <c r="D109" s="461"/>
      <c r="E109" s="485"/>
      <c r="F109" s="20">
        <v>-40</v>
      </c>
      <c r="G109" s="1">
        <v>8</v>
      </c>
    </row>
    <row r="110" spans="1:10" x14ac:dyDescent="0.2">
      <c r="B110" s="484"/>
      <c r="C110" s="461"/>
      <c r="D110" s="461"/>
      <c r="E110" s="485"/>
      <c r="F110" s="20">
        <v>-40</v>
      </c>
      <c r="G110" s="1">
        <v>9</v>
      </c>
    </row>
    <row r="111" spans="1:10" x14ac:dyDescent="0.2">
      <c r="B111" s="486"/>
      <c r="C111" s="487"/>
      <c r="D111" s="487"/>
      <c r="E111" s="488"/>
      <c r="F111" s="20">
        <v>-40</v>
      </c>
      <c r="G111" s="1">
        <v>10</v>
      </c>
    </row>
    <row r="112" spans="1:10" x14ac:dyDescent="0.2">
      <c r="A112" s="1" t="s">
        <v>2297</v>
      </c>
      <c r="C112" s="30">
        <f>NPV(6%,F103:F112)+F102</f>
        <v>-80.37448771208679</v>
      </c>
      <c r="E112" s="1" t="s">
        <v>2295</v>
      </c>
      <c r="F112" s="20">
        <v>260</v>
      </c>
      <c r="G112" s="1">
        <v>11</v>
      </c>
      <c r="H112" s="1" t="s">
        <v>2303</v>
      </c>
    </row>
    <row r="113" spans="1:8" x14ac:dyDescent="0.2">
      <c r="C113" s="20"/>
    </row>
    <row r="114" spans="1:8" x14ac:dyDescent="0.2">
      <c r="A114" s="1" t="s">
        <v>2296</v>
      </c>
      <c r="C114" s="24">
        <v>1100</v>
      </c>
    </row>
    <row r="115" spans="1:8" x14ac:dyDescent="0.2">
      <c r="C115" s="20"/>
    </row>
    <row r="116" spans="1:8" ht="21" x14ac:dyDescent="0.25">
      <c r="A116" s="1" t="s">
        <v>2298</v>
      </c>
      <c r="C116" s="310">
        <f>C112+C114</f>
        <v>1019.6255122879132</v>
      </c>
      <c r="E116" s="1" t="s">
        <v>2299</v>
      </c>
    </row>
    <row r="117" spans="1:8" ht="21" x14ac:dyDescent="0.25">
      <c r="C117" s="311" t="s">
        <v>245</v>
      </c>
    </row>
    <row r="119" spans="1:8" x14ac:dyDescent="0.2">
      <c r="A119" s="151" t="s">
        <v>922</v>
      </c>
      <c r="B119" s="152"/>
      <c r="C119" s="152"/>
      <c r="D119" s="152"/>
      <c r="E119" s="152"/>
      <c r="F119" s="152"/>
      <c r="G119" s="152"/>
      <c r="H119" s="152"/>
    </row>
    <row r="132" spans="1:9" x14ac:dyDescent="0.2">
      <c r="A132" s="1" t="s">
        <v>146</v>
      </c>
    </row>
    <row r="134" spans="1:9" x14ac:dyDescent="0.2">
      <c r="A134" s="1" t="s">
        <v>2304</v>
      </c>
    </row>
    <row r="135" spans="1:9" x14ac:dyDescent="0.2">
      <c r="A135" s="1" t="s">
        <v>2305</v>
      </c>
    </row>
    <row r="136" spans="1:9" x14ac:dyDescent="0.2">
      <c r="A136" s="1" t="s">
        <v>2306</v>
      </c>
    </row>
    <row r="138" spans="1:9" x14ac:dyDescent="0.2">
      <c r="A138" s="1" t="s">
        <v>2307</v>
      </c>
      <c r="I138" s="313">
        <v>3600</v>
      </c>
    </row>
    <row r="140" spans="1:9" x14ac:dyDescent="0.2">
      <c r="A140" s="1" t="s">
        <v>2308</v>
      </c>
    </row>
    <row r="141" spans="1:9" x14ac:dyDescent="0.2">
      <c r="A141" s="1" t="s">
        <v>2309</v>
      </c>
    </row>
    <row r="142" spans="1:9" x14ac:dyDescent="0.2">
      <c r="A142" s="1" t="s">
        <v>2310</v>
      </c>
    </row>
    <row r="143" spans="1:9" x14ac:dyDescent="0.2">
      <c r="I143" s="1" t="s">
        <v>60</v>
      </c>
    </row>
    <row r="144" spans="1:9" x14ac:dyDescent="0.2">
      <c r="H144" s="20" t="s">
        <v>75</v>
      </c>
      <c r="I144" s="1" t="s">
        <v>111</v>
      </c>
    </row>
    <row r="145" spans="1:10" x14ac:dyDescent="0.2">
      <c r="H145" s="20">
        <v>12</v>
      </c>
      <c r="I145" s="1" t="s">
        <v>62</v>
      </c>
    </row>
    <row r="146" spans="1:10" ht="17" thickBot="1" x14ac:dyDescent="0.25">
      <c r="E146" s="1" t="s">
        <v>2312</v>
      </c>
      <c r="H146" s="20">
        <v>2</v>
      </c>
      <c r="I146" s="1" t="s">
        <v>63</v>
      </c>
    </row>
    <row r="147" spans="1:10" ht="17" thickBot="1" x14ac:dyDescent="0.25">
      <c r="F147" s="314">
        <f>3600</f>
        <v>3600</v>
      </c>
      <c r="G147" s="312" t="s">
        <v>2311</v>
      </c>
      <c r="H147" s="57">
        <f>PV(H146/100,H145,H148,H149)</f>
        <v>3000.0127975497858</v>
      </c>
      <c r="I147" s="1" t="s">
        <v>64</v>
      </c>
      <c r="J147" s="1" t="s">
        <v>227</v>
      </c>
    </row>
    <row r="148" spans="1:10" x14ac:dyDescent="0.2">
      <c r="H148" s="20">
        <v>-283.68</v>
      </c>
      <c r="I148" s="1" t="s">
        <v>65</v>
      </c>
    </row>
    <row r="149" spans="1:10" x14ac:dyDescent="0.2">
      <c r="H149" s="20">
        <v>0</v>
      </c>
      <c r="I149" s="1" t="s">
        <v>66</v>
      </c>
    </row>
    <row r="151" spans="1:10" x14ac:dyDescent="0.2">
      <c r="A151" s="1" t="s">
        <v>2313</v>
      </c>
    </row>
    <row r="152" spans="1:10" x14ac:dyDescent="0.2">
      <c r="I152" s="1" t="s">
        <v>60</v>
      </c>
    </row>
    <row r="153" spans="1:10" x14ac:dyDescent="0.2">
      <c r="H153" s="20" t="s">
        <v>75</v>
      </c>
      <c r="I153" s="1" t="s">
        <v>111</v>
      </c>
    </row>
    <row r="154" spans="1:10" x14ac:dyDescent="0.2">
      <c r="H154" s="20">
        <v>12</v>
      </c>
      <c r="I154" s="1" t="s">
        <v>62</v>
      </c>
    </row>
    <row r="155" spans="1:10" ht="17" thickBot="1" x14ac:dyDescent="0.25">
      <c r="E155" s="1" t="s">
        <v>2315</v>
      </c>
      <c r="H155" s="20">
        <v>2</v>
      </c>
      <c r="I155" s="1" t="s">
        <v>63</v>
      </c>
    </row>
    <row r="156" spans="1:10" ht="17" thickBot="1" x14ac:dyDescent="0.25">
      <c r="F156" s="314">
        <f>3600</f>
        <v>3600</v>
      </c>
      <c r="G156" s="312" t="s">
        <v>2314</v>
      </c>
      <c r="H156" s="57">
        <f>PV(H155/100,H154,H157,H158)</f>
        <v>2599.9476391624889</v>
      </c>
      <c r="I156" s="1" t="s">
        <v>64</v>
      </c>
      <c r="J156" s="1" t="s">
        <v>227</v>
      </c>
    </row>
    <row r="157" spans="1:10" x14ac:dyDescent="0.2">
      <c r="H157" s="20">
        <v>-245.85</v>
      </c>
      <c r="I157" s="1" t="s">
        <v>65</v>
      </c>
    </row>
    <row r="158" spans="1:10" x14ac:dyDescent="0.2">
      <c r="H158" s="20">
        <v>0</v>
      </c>
      <c r="I158" s="1" t="s">
        <v>66</v>
      </c>
    </row>
    <row r="160" spans="1:10" x14ac:dyDescent="0.2">
      <c r="A160" s="1" t="s">
        <v>2316</v>
      </c>
    </row>
    <row r="162" spans="1:8" x14ac:dyDescent="0.2">
      <c r="A162" s="151" t="s">
        <v>930</v>
      </c>
      <c r="B162" s="152"/>
      <c r="C162" s="152"/>
      <c r="D162" s="152"/>
      <c r="E162" s="152"/>
      <c r="F162" s="152"/>
      <c r="G162" s="152"/>
      <c r="H162" s="152"/>
    </row>
    <row r="175" spans="1:8" x14ac:dyDescent="0.2">
      <c r="A175" s="1" t="s">
        <v>146</v>
      </c>
    </row>
    <row r="177" spans="1:6" x14ac:dyDescent="0.2">
      <c r="A177" s="1" t="s">
        <v>2317</v>
      </c>
    </row>
    <row r="178" spans="1:6" x14ac:dyDescent="0.2">
      <c r="B178" s="1" t="s">
        <v>2318</v>
      </c>
    </row>
    <row r="179" spans="1:6" x14ac:dyDescent="0.2">
      <c r="B179" s="1" t="s">
        <v>2319</v>
      </c>
    </row>
    <row r="181" spans="1:6" x14ac:dyDescent="0.2">
      <c r="A181" s="1" t="s">
        <v>2320</v>
      </c>
      <c r="B181" s="1" t="s">
        <v>2321</v>
      </c>
    </row>
    <row r="183" spans="1:6" x14ac:dyDescent="0.2">
      <c r="A183" s="1" t="s">
        <v>2322</v>
      </c>
      <c r="B183" s="1" t="s">
        <v>2323</v>
      </c>
    </row>
    <row r="185" spans="1:6" x14ac:dyDescent="0.2">
      <c r="A185" s="63" t="s">
        <v>2324</v>
      </c>
    </row>
    <row r="186" spans="1:6" x14ac:dyDescent="0.2">
      <c r="A186" s="1" t="s">
        <v>2325</v>
      </c>
    </row>
    <row r="189" spans="1:6" x14ac:dyDescent="0.2">
      <c r="B189" s="492" t="s">
        <v>2326</v>
      </c>
      <c r="C189" s="494" t="s">
        <v>29</v>
      </c>
    </row>
    <row r="190" spans="1:6" x14ac:dyDescent="0.2">
      <c r="B190" s="493"/>
      <c r="C190" s="495"/>
    </row>
    <row r="191" spans="1:6" x14ac:dyDescent="0.2">
      <c r="B191" s="492" t="s">
        <v>2328</v>
      </c>
      <c r="C191" s="494" t="s">
        <v>2329</v>
      </c>
      <c r="F191" s="315">
        <f>1.05^4-1</f>
        <v>0.21550625000000001</v>
      </c>
    </row>
    <row r="192" spans="1:6" x14ac:dyDescent="0.2">
      <c r="B192" s="493"/>
      <c r="C192" s="495"/>
    </row>
    <row r="193" spans="1:7" x14ac:dyDescent="0.2">
      <c r="B193" s="492" t="s">
        <v>2327</v>
      </c>
      <c r="C193" s="494" t="s">
        <v>29</v>
      </c>
    </row>
    <row r="194" spans="1:7" x14ac:dyDescent="0.2">
      <c r="B194" s="493"/>
      <c r="C194" s="495"/>
    </row>
    <row r="196" spans="1:7" x14ac:dyDescent="0.2">
      <c r="A196" s="63" t="s">
        <v>2330</v>
      </c>
    </row>
    <row r="198" spans="1:7" x14ac:dyDescent="0.2">
      <c r="C198" s="316">
        <f>(1+19%/365)^365-1</f>
        <v>0.2091898200018163</v>
      </c>
    </row>
    <row r="200" spans="1:7" x14ac:dyDescent="0.2">
      <c r="A200" s="63" t="s">
        <v>2331</v>
      </c>
      <c r="B200" s="63"/>
    </row>
    <row r="201" spans="1:7" x14ac:dyDescent="0.2">
      <c r="A201" s="1" t="s">
        <v>2332</v>
      </c>
    </row>
    <row r="203" spans="1:7" x14ac:dyDescent="0.2">
      <c r="D203" s="20">
        <v>1</v>
      </c>
      <c r="F203" s="20">
        <v>0</v>
      </c>
    </row>
    <row r="204" spans="1:7" x14ac:dyDescent="0.2">
      <c r="F204" s="20"/>
    </row>
    <row r="205" spans="1:7" x14ac:dyDescent="0.2">
      <c r="D205" s="20">
        <v>-1</v>
      </c>
      <c r="F205" s="20">
        <v>1</v>
      </c>
      <c r="G205" s="1" t="s">
        <v>2333</v>
      </c>
    </row>
    <row r="206" spans="1:7" x14ac:dyDescent="0.2">
      <c r="F206" s="20">
        <v>-0.18</v>
      </c>
      <c r="G206" s="1" t="s">
        <v>2334</v>
      </c>
    </row>
    <row r="207" spans="1:7" x14ac:dyDescent="0.2">
      <c r="F207" s="20">
        <f>F205+F206</f>
        <v>0.82000000000000006</v>
      </c>
      <c r="G207" s="1" t="s">
        <v>2335</v>
      </c>
    </row>
    <row r="208" spans="1:7" x14ac:dyDescent="0.2">
      <c r="F208" s="20"/>
    </row>
    <row r="209" spans="1:6" x14ac:dyDescent="0.2">
      <c r="C209" s="315">
        <f>1/0.82-1</f>
        <v>0.21951219512195119</v>
      </c>
      <c r="F209" s="20"/>
    </row>
    <row r="210" spans="1:6" x14ac:dyDescent="0.2">
      <c r="F210" s="20"/>
    </row>
    <row r="211" spans="1:6" x14ac:dyDescent="0.2">
      <c r="A211" s="1" t="s">
        <v>2336</v>
      </c>
    </row>
    <row r="215" spans="1:6" x14ac:dyDescent="0.2">
      <c r="A215" s="63" t="s">
        <v>2337</v>
      </c>
    </row>
    <row r="216" spans="1:6" x14ac:dyDescent="0.2">
      <c r="A216" s="1" t="s">
        <v>2338</v>
      </c>
    </row>
    <row r="217" spans="1:6" x14ac:dyDescent="0.2">
      <c r="A217" s="1" t="s">
        <v>2339</v>
      </c>
    </row>
    <row r="218" spans="1:6" x14ac:dyDescent="0.2">
      <c r="A218" s="1" t="s">
        <v>2340</v>
      </c>
    </row>
    <row r="222" spans="1:6" x14ac:dyDescent="0.2">
      <c r="D222" s="1" t="s">
        <v>845</v>
      </c>
    </row>
    <row r="223" spans="1:6" x14ac:dyDescent="0.2">
      <c r="F223" s="1" t="s">
        <v>2341</v>
      </c>
    </row>
    <row r="224" spans="1:6" x14ac:dyDescent="0.2">
      <c r="F224" s="1" t="s">
        <v>2342</v>
      </c>
    </row>
    <row r="226" spans="1:8" x14ac:dyDescent="0.2">
      <c r="E226" s="1" t="s">
        <v>850</v>
      </c>
    </row>
    <row r="230" spans="1:8" x14ac:dyDescent="0.2">
      <c r="D230" s="317">
        <f>1.18*1.03-1</f>
        <v>0.21540000000000004</v>
      </c>
      <c r="E230" s="1" t="s">
        <v>2343</v>
      </c>
    </row>
    <row r="232" spans="1:8" x14ac:dyDescent="0.2">
      <c r="A232" s="1" t="s">
        <v>2344</v>
      </c>
    </row>
    <row r="233" spans="1:8" ht="17" thickBot="1" x14ac:dyDescent="0.25">
      <c r="A233" s="16" t="s">
        <v>2345</v>
      </c>
      <c r="B233" s="16" t="s">
        <v>216</v>
      </c>
    </row>
    <row r="234" spans="1:8" x14ac:dyDescent="0.2">
      <c r="A234" s="1" t="s">
        <v>171</v>
      </c>
      <c r="B234" s="156">
        <f>F191</f>
        <v>0.21550625000000001</v>
      </c>
    </row>
    <row r="235" spans="1:8" x14ac:dyDescent="0.2">
      <c r="A235" s="1" t="s">
        <v>172</v>
      </c>
      <c r="B235" s="156">
        <f>C209</f>
        <v>0.21951219512195119</v>
      </c>
    </row>
    <row r="236" spans="1:8" x14ac:dyDescent="0.2">
      <c r="A236" s="18" t="s">
        <v>173</v>
      </c>
      <c r="B236" s="318">
        <f>C198</f>
        <v>0.2091898200018163</v>
      </c>
      <c r="C236" s="18" t="s">
        <v>2346</v>
      </c>
      <c r="D236" s="18"/>
    </row>
    <row r="237" spans="1:8" x14ac:dyDescent="0.2">
      <c r="A237" s="1" t="s">
        <v>174</v>
      </c>
      <c r="B237" s="277">
        <f>D230</f>
        <v>0.21540000000000004</v>
      </c>
    </row>
    <row r="240" spans="1:8" x14ac:dyDescent="0.2">
      <c r="A240" s="151" t="s">
        <v>1165</v>
      </c>
      <c r="B240" s="152"/>
      <c r="C240" s="152"/>
      <c r="D240" s="152"/>
      <c r="E240" s="152"/>
      <c r="F240" s="152"/>
      <c r="G240" s="152"/>
      <c r="H240" s="152"/>
    </row>
    <row r="251" spans="1:1" x14ac:dyDescent="0.2">
      <c r="A251" s="1" t="s">
        <v>146</v>
      </c>
    </row>
    <row r="253" spans="1:1" x14ac:dyDescent="0.2">
      <c r="A253" s="1" t="s">
        <v>2347</v>
      </c>
    </row>
    <row r="254" spans="1:1" x14ac:dyDescent="0.2">
      <c r="A254" s="1" t="s">
        <v>2348</v>
      </c>
    </row>
    <row r="255" spans="1:1" x14ac:dyDescent="0.2">
      <c r="A255" s="1" t="s">
        <v>2349</v>
      </c>
    </row>
    <row r="257" spans="1:10" x14ac:dyDescent="0.2">
      <c r="B257" s="1" t="s">
        <v>2351</v>
      </c>
      <c r="C257" s="1" t="s">
        <v>60</v>
      </c>
      <c r="F257" s="20" t="s">
        <v>2350</v>
      </c>
      <c r="G257" s="1" t="s">
        <v>60</v>
      </c>
    </row>
    <row r="258" spans="1:10" x14ac:dyDescent="0.2">
      <c r="B258" s="20" t="s">
        <v>75</v>
      </c>
      <c r="C258" s="1" t="s">
        <v>111</v>
      </c>
      <c r="F258" s="20" t="s">
        <v>75</v>
      </c>
      <c r="G258" s="1" t="s">
        <v>111</v>
      </c>
    </row>
    <row r="259" spans="1:10" x14ac:dyDescent="0.2">
      <c r="B259" s="20">
        <v>5</v>
      </c>
      <c r="C259" s="1" t="s">
        <v>62</v>
      </c>
      <c r="F259" s="20">
        <f>5*12</f>
        <v>60</v>
      </c>
      <c r="G259" s="1" t="s">
        <v>62</v>
      </c>
    </row>
    <row r="260" spans="1:10" x14ac:dyDescent="0.2">
      <c r="B260" s="319">
        <f>((1+1.5%)^12-1)*100</f>
        <v>19.561817146153327</v>
      </c>
      <c r="C260" s="1" t="s">
        <v>63</v>
      </c>
      <c r="F260" s="20">
        <v>1.5</v>
      </c>
      <c r="G260" s="1" t="s">
        <v>63</v>
      </c>
      <c r="J260" s="168"/>
    </row>
    <row r="261" spans="1:10" x14ac:dyDescent="0.2">
      <c r="B261" s="54">
        <f>PV(B260/100,B259,B262,B263)</f>
        <v>7247.2289730564107</v>
      </c>
      <c r="C261" s="1" t="s">
        <v>64</v>
      </c>
      <c r="F261" s="54">
        <f>PV(F260/100,F259,F262,F263)</f>
        <v>7876.0537770685578</v>
      </c>
      <c r="G261" s="1" t="s">
        <v>64</v>
      </c>
      <c r="H261" s="1" t="s">
        <v>227</v>
      </c>
    </row>
    <row r="262" spans="1:10" x14ac:dyDescent="0.2">
      <c r="B262" s="20">
        <f>-200*12</f>
        <v>-2400</v>
      </c>
      <c r="C262" s="1" t="s">
        <v>65</v>
      </c>
      <c r="F262" s="20">
        <v>-200</v>
      </c>
      <c r="G262" s="1" t="s">
        <v>65</v>
      </c>
    </row>
    <row r="263" spans="1:10" x14ac:dyDescent="0.2">
      <c r="B263" s="20">
        <v>0</v>
      </c>
      <c r="C263" s="1" t="s">
        <v>66</v>
      </c>
      <c r="F263" s="20">
        <v>0</v>
      </c>
      <c r="G263" s="1" t="s">
        <v>66</v>
      </c>
    </row>
    <row r="267" spans="1:10" x14ac:dyDescent="0.2">
      <c r="B267" s="1" t="s">
        <v>2352</v>
      </c>
    </row>
    <row r="271" spans="1:10" x14ac:dyDescent="0.2">
      <c r="A271" s="1" t="s">
        <v>2353</v>
      </c>
    </row>
    <row r="272" spans="1:10" x14ac:dyDescent="0.2">
      <c r="D272" s="320">
        <f>F261-B261</f>
        <v>628.82480401214707</v>
      </c>
      <c r="F272" s="1" t="s">
        <v>2354</v>
      </c>
    </row>
    <row r="273" spans="1:8" x14ac:dyDescent="0.2">
      <c r="D273" s="20" t="s">
        <v>2355</v>
      </c>
    </row>
    <row r="275" spans="1:8" x14ac:dyDescent="0.2">
      <c r="A275" s="151" t="s">
        <v>1178</v>
      </c>
      <c r="B275" s="152"/>
      <c r="C275" s="152"/>
      <c r="D275" s="152"/>
      <c r="E275" s="152"/>
      <c r="F275" s="152"/>
      <c r="G275" s="152"/>
      <c r="H275" s="152"/>
    </row>
    <row r="287" spans="1:8" x14ac:dyDescent="0.2">
      <c r="A287" s="18" t="s">
        <v>146</v>
      </c>
    </row>
    <row r="289" spans="1:9" x14ac:dyDescent="0.2">
      <c r="A289" s="1" t="s">
        <v>2356</v>
      </c>
    </row>
    <row r="290" spans="1:9" x14ac:dyDescent="0.2">
      <c r="A290" s="1" t="s">
        <v>2357</v>
      </c>
    </row>
    <row r="291" spans="1:9" x14ac:dyDescent="0.2">
      <c r="C291" s="1" t="s">
        <v>2358</v>
      </c>
    </row>
    <row r="292" spans="1:9" x14ac:dyDescent="0.2">
      <c r="C292" s="1" t="s">
        <v>2359</v>
      </c>
    </row>
    <row r="293" spans="1:9" x14ac:dyDescent="0.2">
      <c r="C293" s="1" t="s">
        <v>2360</v>
      </c>
    </row>
    <row r="294" spans="1:9" x14ac:dyDescent="0.2">
      <c r="C294" s="1" t="s">
        <v>2361</v>
      </c>
    </row>
    <row r="295" spans="1:9" x14ac:dyDescent="0.2">
      <c r="F295" s="321" t="s">
        <v>2363</v>
      </c>
    </row>
    <row r="296" spans="1:9" x14ac:dyDescent="0.2">
      <c r="C296" s="20"/>
      <c r="D296" s="20" t="s">
        <v>1522</v>
      </c>
      <c r="E296" s="20" t="s">
        <v>1523</v>
      </c>
      <c r="F296" s="69" t="s">
        <v>2362</v>
      </c>
    </row>
    <row r="297" spans="1:9" x14ac:dyDescent="0.2">
      <c r="C297" s="20">
        <v>0</v>
      </c>
      <c r="D297" s="20">
        <v>-800</v>
      </c>
      <c r="E297" s="20">
        <v>-1000</v>
      </c>
      <c r="F297" s="69">
        <f>E297-D297</f>
        <v>-200</v>
      </c>
    </row>
    <row r="298" spans="1:9" x14ac:dyDescent="0.2">
      <c r="C298" s="20">
        <v>1</v>
      </c>
      <c r="D298" s="20">
        <v>600</v>
      </c>
      <c r="E298" s="20">
        <v>700</v>
      </c>
      <c r="F298" s="69">
        <f t="shared" ref="F298:F299" si="6">E298-D298</f>
        <v>100</v>
      </c>
    </row>
    <row r="299" spans="1:9" x14ac:dyDescent="0.2">
      <c r="C299" s="20">
        <v>2</v>
      </c>
      <c r="D299" s="20">
        <v>550</v>
      </c>
      <c r="E299" s="20">
        <v>700</v>
      </c>
      <c r="F299" s="69">
        <f t="shared" si="6"/>
        <v>150</v>
      </c>
    </row>
    <row r="300" spans="1:9" ht="17" thickBot="1" x14ac:dyDescent="0.25"/>
    <row r="301" spans="1:9" x14ac:dyDescent="0.2">
      <c r="B301" s="12" t="s">
        <v>2364</v>
      </c>
      <c r="C301" s="13"/>
      <c r="D301" s="13"/>
      <c r="E301" s="13"/>
      <c r="F301" s="13"/>
      <c r="G301" s="13"/>
      <c r="H301" s="13"/>
      <c r="I301" s="14"/>
    </row>
    <row r="302" spans="1:9" x14ac:dyDescent="0.2">
      <c r="B302" s="72"/>
      <c r="H302" s="1" t="s">
        <v>959</v>
      </c>
      <c r="I302" s="73"/>
    </row>
    <row r="303" spans="1:9" x14ac:dyDescent="0.2">
      <c r="B303" s="72" t="s">
        <v>2366</v>
      </c>
      <c r="H303" s="1" t="s">
        <v>2365</v>
      </c>
      <c r="I303" s="73"/>
    </row>
    <row r="304" spans="1:9" x14ac:dyDescent="0.2">
      <c r="B304" s="72"/>
      <c r="I304" s="73"/>
    </row>
    <row r="305" spans="1:9" x14ac:dyDescent="0.2">
      <c r="B305" s="72"/>
      <c r="E305" s="20" t="s">
        <v>87</v>
      </c>
      <c r="H305" s="1" t="s">
        <v>2367</v>
      </c>
      <c r="I305" s="73"/>
    </row>
    <row r="306" spans="1:9" x14ac:dyDescent="0.2">
      <c r="B306" s="72"/>
      <c r="E306" s="20">
        <v>-200</v>
      </c>
      <c r="F306" s="20">
        <v>1</v>
      </c>
      <c r="I306" s="73"/>
    </row>
    <row r="307" spans="1:9" x14ac:dyDescent="0.2">
      <c r="B307" s="72"/>
      <c r="E307" s="20">
        <v>100</v>
      </c>
      <c r="F307" s="20">
        <v>2</v>
      </c>
      <c r="I307" s="73"/>
    </row>
    <row r="308" spans="1:9" x14ac:dyDescent="0.2">
      <c r="B308" s="72"/>
      <c r="E308" s="20">
        <v>150</v>
      </c>
      <c r="F308" s="20">
        <v>3</v>
      </c>
      <c r="I308" s="73"/>
    </row>
    <row r="309" spans="1:9" x14ac:dyDescent="0.2">
      <c r="B309" s="72"/>
      <c r="I309" s="73"/>
    </row>
    <row r="310" spans="1:9" ht="17" thickBot="1" x14ac:dyDescent="0.25">
      <c r="B310" s="15" t="s">
        <v>2369</v>
      </c>
      <c r="C310" s="16"/>
      <c r="D310" s="16"/>
      <c r="E310" s="322">
        <f>IRR(E306:E308)</f>
        <v>0.15138781886597674</v>
      </c>
      <c r="F310" s="16"/>
      <c r="G310" s="16"/>
      <c r="H310" s="16" t="s">
        <v>1279</v>
      </c>
      <c r="I310" s="17"/>
    </row>
    <row r="312" spans="1:9" x14ac:dyDescent="0.2">
      <c r="B312" s="18" t="s">
        <v>2368</v>
      </c>
    </row>
    <row r="314" spans="1:9" x14ac:dyDescent="0.2">
      <c r="A314" s="323" t="s">
        <v>2370</v>
      </c>
      <c r="B314" s="323"/>
      <c r="C314" s="323"/>
      <c r="D314" s="323"/>
      <c r="E314" s="323"/>
      <c r="F314" s="323"/>
      <c r="G314" s="323"/>
      <c r="H314" s="323"/>
    </row>
    <row r="322" spans="1:12" x14ac:dyDescent="0.2">
      <c r="A322" s="1" t="s">
        <v>146</v>
      </c>
    </row>
    <row r="324" spans="1:12" x14ac:dyDescent="0.2">
      <c r="A324" s="1" t="s">
        <v>2371</v>
      </c>
    </row>
    <row r="325" spans="1:12" x14ac:dyDescent="0.2">
      <c r="A325" s="1" t="s">
        <v>2372</v>
      </c>
    </row>
    <row r="327" spans="1:12" x14ac:dyDescent="0.2">
      <c r="I327" s="1" t="s">
        <v>60</v>
      </c>
    </row>
    <row r="328" spans="1:12" x14ac:dyDescent="0.2">
      <c r="H328" s="20" t="s">
        <v>75</v>
      </c>
      <c r="I328" s="1" t="s">
        <v>111</v>
      </c>
    </row>
    <row r="329" spans="1:12" x14ac:dyDescent="0.2">
      <c r="A329" s="1" t="s">
        <v>2373</v>
      </c>
      <c r="H329" s="20">
        <f>15*4</f>
        <v>60</v>
      </c>
      <c r="I329" s="1" t="s">
        <v>62</v>
      </c>
    </row>
    <row r="330" spans="1:12" x14ac:dyDescent="0.2">
      <c r="A330" s="1" t="s">
        <v>2374</v>
      </c>
      <c r="H330" s="20">
        <f>((1+15%)^(1/4)-1)*100</f>
        <v>3.5558076341622114</v>
      </c>
      <c r="I330" s="1" t="s">
        <v>63</v>
      </c>
      <c r="L330" s="1" t="s">
        <v>2375</v>
      </c>
    </row>
    <row r="331" spans="1:12" x14ac:dyDescent="0.2">
      <c r="A331" s="1" t="s">
        <v>2379</v>
      </c>
      <c r="H331" s="50">
        <f>PV(H330/100,H329,H332,H333)</f>
        <v>-86.289979907658548</v>
      </c>
      <c r="I331" s="1" t="s">
        <v>64</v>
      </c>
      <c r="J331" s="1" t="s">
        <v>227</v>
      </c>
    </row>
    <row r="332" spans="1:12" x14ac:dyDescent="0.2">
      <c r="A332" s="1" t="s">
        <v>2376</v>
      </c>
      <c r="H332" s="20">
        <f>12%/4*100</f>
        <v>3</v>
      </c>
      <c r="I332" s="1" t="s">
        <v>65</v>
      </c>
      <c r="L332" s="1" t="s">
        <v>2377</v>
      </c>
    </row>
    <row r="333" spans="1:12" x14ac:dyDescent="0.2">
      <c r="A333" s="1" t="s">
        <v>2378</v>
      </c>
      <c r="H333" s="20">
        <v>100</v>
      </c>
      <c r="I333" s="1" t="s">
        <v>66</v>
      </c>
    </row>
    <row r="336" spans="1:12" x14ac:dyDescent="0.2">
      <c r="A336" s="151" t="s">
        <v>1197</v>
      </c>
      <c r="B336" s="152"/>
      <c r="C336" s="152"/>
      <c r="D336" s="152"/>
      <c r="E336" s="152"/>
      <c r="F336" s="152"/>
      <c r="G336" s="152"/>
      <c r="H336" s="152"/>
    </row>
    <row r="337" spans="1:1" x14ac:dyDescent="0.2">
      <c r="A337" s="18"/>
    </row>
    <row r="338" spans="1:1" x14ac:dyDescent="0.2">
      <c r="A338" s="18"/>
    </row>
    <row r="339" spans="1:1" x14ac:dyDescent="0.2">
      <c r="A339" s="18"/>
    </row>
    <row r="340" spans="1:1" x14ac:dyDescent="0.2">
      <c r="A340" s="18"/>
    </row>
    <row r="341" spans="1:1" x14ac:dyDescent="0.2">
      <c r="A341" s="18"/>
    </row>
    <row r="342" spans="1:1" x14ac:dyDescent="0.2">
      <c r="A342" s="18"/>
    </row>
    <row r="343" spans="1:1" x14ac:dyDescent="0.2">
      <c r="A343" s="18"/>
    </row>
    <row r="344" spans="1:1" x14ac:dyDescent="0.2">
      <c r="A344" s="18"/>
    </row>
    <row r="345" spans="1:1" x14ac:dyDescent="0.2">
      <c r="A345" s="18"/>
    </row>
    <row r="346" spans="1:1" x14ac:dyDescent="0.2">
      <c r="A346" s="18"/>
    </row>
    <row r="347" spans="1:1" x14ac:dyDescent="0.2">
      <c r="A347" s="18"/>
    </row>
    <row r="348" spans="1:1" x14ac:dyDescent="0.2">
      <c r="A348" s="18"/>
    </row>
    <row r="349" spans="1:1" x14ac:dyDescent="0.2">
      <c r="A349" s="18"/>
    </row>
    <row r="350" spans="1:1" x14ac:dyDescent="0.2">
      <c r="A350" s="18"/>
    </row>
    <row r="351" spans="1:1" x14ac:dyDescent="0.2">
      <c r="A351" s="18"/>
    </row>
    <row r="352" spans="1:1" x14ac:dyDescent="0.2">
      <c r="A352" s="18" t="s">
        <v>2811</v>
      </c>
    </row>
    <row r="353" spans="1:9" x14ac:dyDescent="0.2">
      <c r="A353" s="18"/>
      <c r="I353" s="1" t="s">
        <v>2815</v>
      </c>
    </row>
    <row r="354" spans="1:9" x14ac:dyDescent="0.2">
      <c r="A354" s="18"/>
      <c r="I354" s="1" t="s">
        <v>2816</v>
      </c>
    </row>
    <row r="355" spans="1:9" x14ac:dyDescent="0.2">
      <c r="A355" s="18"/>
      <c r="I355" s="1" t="s">
        <v>2817</v>
      </c>
    </row>
    <row r="356" spans="1:9" x14ac:dyDescent="0.2">
      <c r="A356" s="18"/>
      <c r="I356" s="1" t="s">
        <v>2818</v>
      </c>
    </row>
    <row r="357" spans="1:9" x14ac:dyDescent="0.2">
      <c r="A357" s="18"/>
      <c r="I357" s="1" t="s">
        <v>2819</v>
      </c>
    </row>
    <row r="358" spans="1:9" x14ac:dyDescent="0.2">
      <c r="A358" s="18" t="s">
        <v>2812</v>
      </c>
    </row>
    <row r="359" spans="1:9" x14ac:dyDescent="0.2">
      <c r="A359" s="18" t="s">
        <v>2813</v>
      </c>
      <c r="I359" s="1" t="s">
        <v>2820</v>
      </c>
    </row>
    <row r="360" spans="1:9" x14ac:dyDescent="0.2">
      <c r="A360" s="18"/>
      <c r="I360" s="1" t="s">
        <v>2821</v>
      </c>
    </row>
    <row r="361" spans="1:9" x14ac:dyDescent="0.2">
      <c r="A361" s="18"/>
      <c r="F361" s="1" t="s">
        <v>60</v>
      </c>
      <c r="I361" s="1" t="s">
        <v>2822</v>
      </c>
    </row>
    <row r="362" spans="1:9" x14ac:dyDescent="0.2">
      <c r="A362" s="18"/>
      <c r="E362" s="20" t="s">
        <v>75</v>
      </c>
      <c r="F362" s="1" t="s">
        <v>111</v>
      </c>
      <c r="I362" s="1" t="s">
        <v>2823</v>
      </c>
    </row>
    <row r="363" spans="1:9" x14ac:dyDescent="0.2">
      <c r="A363" s="18"/>
      <c r="B363" s="1" t="s">
        <v>2814</v>
      </c>
      <c r="E363" s="259">
        <f>RATE(E364,E366,E365,E367)</f>
        <v>8.3333333333333329E-2</v>
      </c>
      <c r="F363" s="1" t="s">
        <v>63</v>
      </c>
      <c r="I363" s="1" t="s">
        <v>2824</v>
      </c>
    </row>
    <row r="364" spans="1:9" x14ac:dyDescent="0.2">
      <c r="A364" s="18"/>
      <c r="E364" s="20">
        <v>999</v>
      </c>
      <c r="F364" s="1" t="s">
        <v>62</v>
      </c>
    </row>
    <row r="365" spans="1:9" x14ac:dyDescent="0.2">
      <c r="A365" s="18"/>
      <c r="E365" s="20">
        <v>-900</v>
      </c>
      <c r="F365" s="1" t="s">
        <v>1565</v>
      </c>
    </row>
    <row r="366" spans="1:9" x14ac:dyDescent="0.2">
      <c r="A366" s="18"/>
      <c r="E366" s="20">
        <v>75</v>
      </c>
      <c r="F366" s="1" t="s">
        <v>1564</v>
      </c>
    </row>
    <row r="367" spans="1:9" x14ac:dyDescent="0.2">
      <c r="A367" s="18"/>
      <c r="E367" s="20">
        <v>0</v>
      </c>
      <c r="F367" s="1" t="s">
        <v>1566</v>
      </c>
    </row>
    <row r="368" spans="1:9" x14ac:dyDescent="0.2">
      <c r="A368" s="18"/>
    </row>
    <row r="369" spans="1:1" x14ac:dyDescent="0.2">
      <c r="A369" s="18"/>
    </row>
    <row r="370" spans="1:1" x14ac:dyDescent="0.2">
      <c r="A370" s="18" t="s">
        <v>2825</v>
      </c>
    </row>
    <row r="371" spans="1:1" x14ac:dyDescent="0.2">
      <c r="A371" s="18"/>
    </row>
    <row r="372" spans="1:1" x14ac:dyDescent="0.2">
      <c r="A372" s="18"/>
    </row>
    <row r="373" spans="1:1" x14ac:dyDescent="0.2">
      <c r="A373" s="18"/>
    </row>
    <row r="374" spans="1:1" x14ac:dyDescent="0.2">
      <c r="A374" s="18"/>
    </row>
    <row r="375" spans="1:1" x14ac:dyDescent="0.2">
      <c r="A375" s="18"/>
    </row>
    <row r="376" spans="1:1" x14ac:dyDescent="0.2">
      <c r="A376" s="18"/>
    </row>
    <row r="377" spans="1:1" x14ac:dyDescent="0.2">
      <c r="A377" s="18"/>
    </row>
    <row r="378" spans="1:1" x14ac:dyDescent="0.2">
      <c r="A378" s="18"/>
    </row>
    <row r="379" spans="1:1" x14ac:dyDescent="0.2">
      <c r="A379" s="18"/>
    </row>
    <row r="380" spans="1:1" x14ac:dyDescent="0.2">
      <c r="A380" s="18"/>
    </row>
    <row r="381" spans="1:1" x14ac:dyDescent="0.2">
      <c r="A381" s="1" t="s">
        <v>1407</v>
      </c>
    </row>
    <row r="382" spans="1:1" x14ac:dyDescent="0.2">
      <c r="A382" s="1" t="s">
        <v>1337</v>
      </c>
    </row>
    <row r="383" spans="1:1" x14ac:dyDescent="0.2">
      <c r="A383" s="1" t="s">
        <v>1338</v>
      </c>
    </row>
    <row r="384" spans="1:1" x14ac:dyDescent="0.2">
      <c r="A384" s="1" t="s">
        <v>1339</v>
      </c>
    </row>
    <row r="386" spans="1:1" x14ac:dyDescent="0.2">
      <c r="A386" s="1" t="s">
        <v>1340</v>
      </c>
    </row>
    <row r="388" spans="1:1" x14ac:dyDescent="0.2">
      <c r="A388" s="1" t="s">
        <v>1341</v>
      </c>
    </row>
    <row r="389" spans="1:1" x14ac:dyDescent="0.2">
      <c r="A389" s="1" t="s">
        <v>1342</v>
      </c>
    </row>
    <row r="391" spans="1:1" x14ac:dyDescent="0.2">
      <c r="A391" s="18" t="s">
        <v>1343</v>
      </c>
    </row>
    <row r="396" spans="1:1" x14ac:dyDescent="0.2">
      <c r="A396" s="1" t="s">
        <v>1344</v>
      </c>
    </row>
    <row r="397" spans="1:1" x14ac:dyDescent="0.2">
      <c r="A397" s="1" t="s">
        <v>1345</v>
      </c>
    </row>
    <row r="398" spans="1:1" x14ac:dyDescent="0.2">
      <c r="A398" s="1" t="s">
        <v>1346</v>
      </c>
    </row>
    <row r="403" spans="1:8" x14ac:dyDescent="0.2">
      <c r="C403" s="1" t="s">
        <v>1347</v>
      </c>
      <c r="D403" s="1" t="s">
        <v>1348</v>
      </c>
    </row>
    <row r="404" spans="1:8" x14ac:dyDescent="0.2">
      <c r="C404" s="1" t="s">
        <v>1349</v>
      </c>
    </row>
    <row r="405" spans="1:8" x14ac:dyDescent="0.2">
      <c r="C405" s="1" t="s">
        <v>1350</v>
      </c>
    </row>
    <row r="413" spans="1:8" ht="17" thickBot="1" x14ac:dyDescent="0.25"/>
    <row r="414" spans="1:8" x14ac:dyDescent="0.2">
      <c r="A414" s="12" t="s">
        <v>1351</v>
      </c>
      <c r="B414" s="13"/>
      <c r="C414" s="13"/>
      <c r="D414" s="13"/>
      <c r="E414" s="13"/>
      <c r="F414" s="13"/>
      <c r="G414" s="13"/>
      <c r="H414" s="14"/>
    </row>
    <row r="415" spans="1:8" x14ac:dyDescent="0.2">
      <c r="A415" s="72" t="s">
        <v>1352</v>
      </c>
      <c r="H415" s="73"/>
    </row>
    <row r="416" spans="1:8" x14ac:dyDescent="0.2">
      <c r="A416" s="72"/>
      <c r="H416" s="73"/>
    </row>
    <row r="417" spans="1:8" x14ac:dyDescent="0.2">
      <c r="A417" s="72"/>
      <c r="H417" s="73"/>
    </row>
    <row r="418" spans="1:8" x14ac:dyDescent="0.2">
      <c r="A418" s="72"/>
      <c r="H418" s="73"/>
    </row>
    <row r="419" spans="1:8" x14ac:dyDescent="0.2">
      <c r="A419" s="72"/>
      <c r="B419" s="1" t="s">
        <v>1353</v>
      </c>
      <c r="H419" s="73"/>
    </row>
    <row r="420" spans="1:8" x14ac:dyDescent="0.2">
      <c r="A420" s="72"/>
      <c r="B420" s="20" t="s">
        <v>1354</v>
      </c>
      <c r="C420" s="1" t="s">
        <v>1355</v>
      </c>
      <c r="H420" s="73"/>
    </row>
    <row r="421" spans="1:8" x14ac:dyDescent="0.2">
      <c r="A421" s="72"/>
      <c r="B421" s="20" t="s">
        <v>65</v>
      </c>
      <c r="C421" s="1" t="s">
        <v>1356</v>
      </c>
      <c r="H421" s="73"/>
    </row>
    <row r="422" spans="1:8" ht="17" thickBot="1" x14ac:dyDescent="0.25">
      <c r="A422" s="15"/>
      <c r="B422" s="167" t="s">
        <v>1357</v>
      </c>
      <c r="C422" s="16" t="s">
        <v>1358</v>
      </c>
      <c r="D422" s="16"/>
      <c r="E422" s="16"/>
      <c r="F422" s="16"/>
      <c r="G422" s="16"/>
      <c r="H422" s="17"/>
    </row>
    <row r="425" spans="1:8" x14ac:dyDescent="0.2">
      <c r="A425" s="6" t="s">
        <v>1207</v>
      </c>
      <c r="B425" s="6"/>
      <c r="C425" s="6"/>
      <c r="D425" s="6"/>
      <c r="E425" s="6"/>
      <c r="F425" s="6"/>
      <c r="G425" s="6"/>
      <c r="H425" s="6"/>
    </row>
    <row r="434" spans="1:10" x14ac:dyDescent="0.2">
      <c r="A434" s="1" t="s">
        <v>146</v>
      </c>
    </row>
    <row r="436" spans="1:10" x14ac:dyDescent="0.2">
      <c r="A436" s="1" t="s">
        <v>2380</v>
      </c>
    </row>
    <row r="437" spans="1:10" x14ac:dyDescent="0.2">
      <c r="A437" s="1" t="s">
        <v>2381</v>
      </c>
    </row>
    <row r="438" spans="1:10" x14ac:dyDescent="0.2">
      <c r="A438" s="1" t="s">
        <v>2382</v>
      </c>
    </row>
    <row r="439" spans="1:10" x14ac:dyDescent="0.2">
      <c r="A439" s="1" t="s">
        <v>2383</v>
      </c>
    </row>
    <row r="440" spans="1:10" x14ac:dyDescent="0.2">
      <c r="A440" s="1" t="s">
        <v>2384</v>
      </c>
    </row>
    <row r="442" spans="1:10" x14ac:dyDescent="0.2">
      <c r="A442" s="10" t="s">
        <v>2385</v>
      </c>
      <c r="B442" s="10"/>
      <c r="C442" s="10"/>
      <c r="D442" s="10"/>
      <c r="E442" s="10"/>
      <c r="F442" s="10"/>
      <c r="G442" s="10"/>
      <c r="H442" s="10"/>
    </row>
    <row r="443" spans="1:10" x14ac:dyDescent="0.2">
      <c r="G443" s="1" t="s">
        <v>60</v>
      </c>
    </row>
    <row r="444" spans="1:10" x14ac:dyDescent="0.2">
      <c r="F444" s="20" t="s">
        <v>75</v>
      </c>
      <c r="G444" s="1" t="s">
        <v>111</v>
      </c>
    </row>
    <row r="445" spans="1:10" x14ac:dyDescent="0.2">
      <c r="A445" s="1" t="s">
        <v>2386</v>
      </c>
      <c r="F445" s="20">
        <v>36</v>
      </c>
      <c r="G445" s="1" t="s">
        <v>62</v>
      </c>
      <c r="H445" s="1" t="s">
        <v>2387</v>
      </c>
    </row>
    <row r="446" spans="1:10" x14ac:dyDescent="0.2">
      <c r="A446" s="1" t="s">
        <v>2388</v>
      </c>
      <c r="F446" s="20">
        <f>((1+8%)^(1/12)-1)*100</f>
        <v>0.64340301100034303</v>
      </c>
      <c r="G446" s="1" t="s">
        <v>63</v>
      </c>
      <c r="J446" s="1" t="s">
        <v>2389</v>
      </c>
    </row>
    <row r="447" spans="1:10" x14ac:dyDescent="0.2">
      <c r="A447" s="1" t="s">
        <v>2390</v>
      </c>
      <c r="F447" s="24">
        <v>20000</v>
      </c>
      <c r="G447" s="1" t="s">
        <v>64</v>
      </c>
    </row>
    <row r="448" spans="1:10" x14ac:dyDescent="0.2">
      <c r="A448" s="1" t="s">
        <v>2392</v>
      </c>
      <c r="F448" s="50">
        <f>PMT(F446/100,F445,F447,F449)</f>
        <v>-624.15482826613083</v>
      </c>
      <c r="G448" s="1" t="s">
        <v>65</v>
      </c>
      <c r="H448" s="1" t="s">
        <v>2391</v>
      </c>
    </row>
    <row r="449" spans="1:8" x14ac:dyDescent="0.2">
      <c r="F449" s="20">
        <v>0</v>
      </c>
      <c r="G449" s="1" t="s">
        <v>66</v>
      </c>
    </row>
    <row r="451" spans="1:8" x14ac:dyDescent="0.2">
      <c r="A451" s="10" t="s">
        <v>2393</v>
      </c>
      <c r="B451" s="10"/>
      <c r="C451" s="10"/>
      <c r="D451" s="10"/>
      <c r="E451" s="10"/>
      <c r="F451" s="10"/>
      <c r="G451" s="10"/>
      <c r="H451" s="10"/>
    </row>
    <row r="453" spans="1:8" x14ac:dyDescent="0.2">
      <c r="G453" s="1" t="s">
        <v>2394</v>
      </c>
    </row>
    <row r="454" spans="1:8" x14ac:dyDescent="0.2">
      <c r="A454" s="18" t="s">
        <v>2396</v>
      </c>
      <c r="D454" s="324">
        <f>-F448*118/112</f>
        <v>657.59169406610204</v>
      </c>
      <c r="G454" s="1" t="s">
        <v>2395</v>
      </c>
    </row>
    <row r="460" spans="1:8" x14ac:dyDescent="0.2">
      <c r="A460" s="151" t="s">
        <v>1212</v>
      </c>
      <c r="B460" s="152"/>
      <c r="C460" s="152"/>
      <c r="D460" s="152"/>
      <c r="E460" s="152"/>
      <c r="F460" s="152"/>
      <c r="G460" s="152"/>
      <c r="H460" s="152"/>
    </row>
    <row r="461" spans="1:8" x14ac:dyDescent="0.2">
      <c r="A461" s="1" t="s">
        <v>1359</v>
      </c>
    </row>
    <row r="462" spans="1:8" x14ac:dyDescent="0.2">
      <c r="A462" s="1" t="s">
        <v>1360</v>
      </c>
    </row>
    <row r="466" spans="1:1" x14ac:dyDescent="0.2">
      <c r="A466" s="1" t="s">
        <v>1361</v>
      </c>
    </row>
    <row r="468" spans="1:1" x14ac:dyDescent="0.2">
      <c r="A468" s="18" t="s">
        <v>1362</v>
      </c>
    </row>
    <row r="473" spans="1:1" x14ac:dyDescent="0.2">
      <c r="A473" s="1" t="s">
        <v>1363</v>
      </c>
    </row>
    <row r="474" spans="1:1" x14ac:dyDescent="0.2">
      <c r="A474" s="1" t="s">
        <v>1364</v>
      </c>
    </row>
    <row r="475" spans="1:1" x14ac:dyDescent="0.2">
      <c r="A475" s="1" t="s">
        <v>1365</v>
      </c>
    </row>
    <row r="476" spans="1:1" x14ac:dyDescent="0.2">
      <c r="A476" s="1" t="s">
        <v>1366</v>
      </c>
    </row>
    <row r="478" spans="1:1" x14ac:dyDescent="0.2">
      <c r="A478" s="1" t="s">
        <v>1367</v>
      </c>
    </row>
    <row r="483" spans="1:8" x14ac:dyDescent="0.2">
      <c r="A483" s="1" t="s">
        <v>1368</v>
      </c>
    </row>
    <row r="484" spans="1:8" x14ac:dyDescent="0.2">
      <c r="A484" s="1" t="s">
        <v>1369</v>
      </c>
    </row>
    <row r="487" spans="1:8" x14ac:dyDescent="0.2">
      <c r="A487" s="151" t="s">
        <v>1458</v>
      </c>
      <c r="B487" s="152"/>
      <c r="C487" s="151" t="s">
        <v>1633</v>
      </c>
      <c r="D487" s="152"/>
      <c r="E487" s="152"/>
      <c r="F487" s="152"/>
      <c r="G487" s="152"/>
      <c r="H487" s="152"/>
    </row>
    <row r="489" spans="1:8" x14ac:dyDescent="0.2">
      <c r="A489" s="1" t="s">
        <v>1459</v>
      </c>
    </row>
    <row r="490" spans="1:8" x14ac:dyDescent="0.2">
      <c r="A490" s="1" t="s">
        <v>1634</v>
      </c>
    </row>
    <row r="491" spans="1:8" x14ac:dyDescent="0.2">
      <c r="A491" s="1" t="s">
        <v>1635</v>
      </c>
    </row>
    <row r="492" spans="1:8" x14ac:dyDescent="0.2">
      <c r="A492" s="18" t="s">
        <v>1638</v>
      </c>
    </row>
    <row r="494" spans="1:8" x14ac:dyDescent="0.2">
      <c r="A494" s="1" t="s">
        <v>146</v>
      </c>
    </row>
    <row r="496" spans="1:8" x14ac:dyDescent="0.2">
      <c r="A496" s="1" t="s">
        <v>1460</v>
      </c>
    </row>
    <row r="497" spans="1:12" x14ac:dyDescent="0.2">
      <c r="A497" s="1" t="s">
        <v>1636</v>
      </c>
    </row>
    <row r="498" spans="1:12" x14ac:dyDescent="0.2">
      <c r="A498" s="1" t="s">
        <v>1637</v>
      </c>
    </row>
    <row r="500" spans="1:12" x14ac:dyDescent="0.2">
      <c r="A500" s="1" t="s">
        <v>1461</v>
      </c>
    </row>
    <row r="501" spans="1:12" x14ac:dyDescent="0.2">
      <c r="A501" s="1" t="s">
        <v>1639</v>
      </c>
    </row>
    <row r="502" spans="1:12" x14ac:dyDescent="0.2">
      <c r="A502" s="1" t="s">
        <v>1640</v>
      </c>
    </row>
    <row r="503" spans="1:12" x14ac:dyDescent="0.2">
      <c r="A503" s="1" t="s">
        <v>1641</v>
      </c>
    </row>
    <row r="504" spans="1:12" x14ac:dyDescent="0.2">
      <c r="A504" s="1" t="s">
        <v>1642</v>
      </c>
    </row>
    <row r="505" spans="1:12" x14ac:dyDescent="0.2">
      <c r="A505" s="1" t="s">
        <v>1643</v>
      </c>
    </row>
    <row r="506" spans="1:12" ht="17" thickBot="1" x14ac:dyDescent="0.25">
      <c r="D506" s="480" t="s">
        <v>1647</v>
      </c>
      <c r="E506" s="480"/>
      <c r="F506" s="31" t="s">
        <v>316</v>
      </c>
    </row>
    <row r="507" spans="1:12" x14ac:dyDescent="0.2">
      <c r="D507" s="31" t="s">
        <v>1463</v>
      </c>
      <c r="E507" s="31" t="s">
        <v>1463</v>
      </c>
      <c r="F507" s="31" t="s">
        <v>1462</v>
      </c>
      <c r="I507" s="12" t="s">
        <v>1648</v>
      </c>
      <c r="J507" s="13"/>
      <c r="K507" s="13"/>
      <c r="L507" s="14"/>
    </row>
    <row r="508" spans="1:12" x14ac:dyDescent="0.2">
      <c r="D508" s="20" t="s">
        <v>1466</v>
      </c>
      <c r="E508" s="20" t="s">
        <v>1464</v>
      </c>
      <c r="F508" s="173" t="s">
        <v>1465</v>
      </c>
      <c r="G508" s="20" t="s">
        <v>60</v>
      </c>
      <c r="I508" s="72" t="s">
        <v>1649</v>
      </c>
      <c r="L508" s="73"/>
    </row>
    <row r="509" spans="1:12" x14ac:dyDescent="0.2">
      <c r="D509" s="20" t="s">
        <v>75</v>
      </c>
      <c r="E509" s="20" t="s">
        <v>75</v>
      </c>
      <c r="F509" s="20" t="s">
        <v>75</v>
      </c>
      <c r="G509" s="20" t="s">
        <v>111</v>
      </c>
      <c r="I509" s="72" t="s">
        <v>1650</v>
      </c>
      <c r="L509" s="73"/>
    </row>
    <row r="510" spans="1:12" x14ac:dyDescent="0.2">
      <c r="D510" s="20">
        <v>5</v>
      </c>
      <c r="E510" s="20">
        <v>2</v>
      </c>
      <c r="F510" s="20">
        <v>20</v>
      </c>
      <c r="G510" s="20" t="s">
        <v>62</v>
      </c>
      <c r="I510" s="72"/>
      <c r="L510" s="73"/>
    </row>
    <row r="511" spans="1:12" ht="17" thickBot="1" x14ac:dyDescent="0.25">
      <c r="D511" s="20">
        <v>7</v>
      </c>
      <c r="E511" s="20">
        <v>7</v>
      </c>
      <c r="F511" s="20">
        <v>7</v>
      </c>
      <c r="G511" s="20" t="s">
        <v>63</v>
      </c>
      <c r="I511" s="72" t="s">
        <v>1651</v>
      </c>
      <c r="L511" s="73"/>
    </row>
    <row r="512" spans="1:12" ht="17" thickBot="1" x14ac:dyDescent="0.25">
      <c r="D512" s="186">
        <f>PV(D511/100,D510,D513,D514)</f>
        <v>-24896.348290269696</v>
      </c>
      <c r="E512" s="189">
        <f>PV(E511/100,E510,E513,E514)</f>
        <v>-9040.0908376277421</v>
      </c>
      <c r="F512" s="150">
        <v>-10000</v>
      </c>
      <c r="G512" s="20" t="s">
        <v>64</v>
      </c>
      <c r="I512" s="72" t="s">
        <v>1652</v>
      </c>
      <c r="L512" s="73"/>
    </row>
    <row r="513" spans="1:12" ht="17" thickBot="1" x14ac:dyDescent="0.25">
      <c r="D513" s="150">
        <v>4500</v>
      </c>
      <c r="E513" s="150">
        <v>5000</v>
      </c>
      <c r="F513" s="150">
        <v>0</v>
      </c>
      <c r="G513" s="20" t="s">
        <v>65</v>
      </c>
      <c r="I513" s="72" t="s">
        <v>1653</v>
      </c>
      <c r="L513" s="73"/>
    </row>
    <row r="514" spans="1:12" ht="17" thickBot="1" x14ac:dyDescent="0.25">
      <c r="D514" s="189">
        <f>-E512</f>
        <v>9040.0908376277421</v>
      </c>
      <c r="E514" s="150">
        <v>0</v>
      </c>
      <c r="F514" s="186">
        <f>FV(F511/100,F510,F513,F512)</f>
        <v>38696.844624861798</v>
      </c>
      <c r="G514" s="20" t="s">
        <v>66</v>
      </c>
      <c r="I514" s="72" t="s">
        <v>1654</v>
      </c>
      <c r="L514" s="73"/>
    </row>
    <row r="515" spans="1:12" x14ac:dyDescent="0.2">
      <c r="I515" s="72" t="s">
        <v>1655</v>
      </c>
      <c r="L515" s="73"/>
    </row>
    <row r="516" spans="1:12" x14ac:dyDescent="0.2">
      <c r="I516" s="72" t="s">
        <v>1656</v>
      </c>
      <c r="L516" s="73"/>
    </row>
    <row r="517" spans="1:12" x14ac:dyDescent="0.2">
      <c r="I517" s="72"/>
      <c r="L517" s="73"/>
    </row>
    <row r="518" spans="1:12" x14ac:dyDescent="0.2">
      <c r="I518" s="72" t="s">
        <v>1657</v>
      </c>
      <c r="L518" s="73"/>
    </row>
    <row r="519" spans="1:12" x14ac:dyDescent="0.2">
      <c r="I519" s="72" t="s">
        <v>1658</v>
      </c>
      <c r="L519" s="73"/>
    </row>
    <row r="520" spans="1:12" x14ac:dyDescent="0.2">
      <c r="I520" s="72" t="s">
        <v>1659</v>
      </c>
      <c r="L520" s="73"/>
    </row>
    <row r="521" spans="1:12" x14ac:dyDescent="0.2">
      <c r="I521" s="72" t="s">
        <v>1660</v>
      </c>
      <c r="L521" s="73"/>
    </row>
    <row r="522" spans="1:12" ht="17" thickBot="1" x14ac:dyDescent="0.25">
      <c r="I522" s="15" t="s">
        <v>1661</v>
      </c>
      <c r="J522" s="16"/>
      <c r="K522" s="16"/>
      <c r="L522" s="17"/>
    </row>
    <row r="525" spans="1:12" x14ac:dyDescent="0.2">
      <c r="A525" s="1" t="s">
        <v>1467</v>
      </c>
      <c r="C525" s="170">
        <f>F514</f>
        <v>38696.844624861798</v>
      </c>
    </row>
    <row r="526" spans="1:12" x14ac:dyDescent="0.2">
      <c r="A526" s="1" t="s">
        <v>1468</v>
      </c>
      <c r="C526" s="170">
        <f>D512</f>
        <v>-24896.348290269696</v>
      </c>
    </row>
    <row r="527" spans="1:12" x14ac:dyDescent="0.2">
      <c r="A527" s="1" t="s">
        <v>1644</v>
      </c>
      <c r="C527" s="187">
        <f>C525+C526</f>
        <v>13800.496334592102</v>
      </c>
      <c r="E527" s="1" t="s">
        <v>1645</v>
      </c>
    </row>
    <row r="529" spans="1:10" x14ac:dyDescent="0.2">
      <c r="A529" s="1" t="s">
        <v>1469</v>
      </c>
      <c r="G529" s="188">
        <f>C527*1.07^8</f>
        <v>23711.822076917222</v>
      </c>
      <c r="J529" s="1" t="s">
        <v>1646</v>
      </c>
    </row>
    <row r="530" spans="1:10" x14ac:dyDescent="0.2">
      <c r="G530" s="26" t="s">
        <v>259</v>
      </c>
    </row>
    <row r="531" spans="1:10" x14ac:dyDescent="0.2">
      <c r="G531" s="26"/>
    </row>
    <row r="532" spans="1:10" x14ac:dyDescent="0.2">
      <c r="G532" s="26"/>
    </row>
    <row r="533" spans="1:10" x14ac:dyDescent="0.2">
      <c r="G533" s="26"/>
    </row>
    <row r="534" spans="1:10" x14ac:dyDescent="0.2">
      <c r="G534" s="29" t="s">
        <v>1662</v>
      </c>
    </row>
    <row r="535" spans="1:10" x14ac:dyDescent="0.2">
      <c r="G535" s="29" t="s">
        <v>1663</v>
      </c>
    </row>
    <row r="536" spans="1:10" x14ac:dyDescent="0.2">
      <c r="G536" s="29" t="s">
        <v>1664</v>
      </c>
    </row>
    <row r="538" spans="1:10" x14ac:dyDescent="0.2">
      <c r="G538" s="1" t="s">
        <v>1665</v>
      </c>
    </row>
    <row r="540" spans="1:10" x14ac:dyDescent="0.2">
      <c r="G540" s="1" t="s">
        <v>1666</v>
      </c>
    </row>
    <row r="542" spans="1:10" x14ac:dyDescent="0.2">
      <c r="G542" s="1" t="s">
        <v>1667</v>
      </c>
    </row>
    <row r="544" spans="1:10" x14ac:dyDescent="0.2">
      <c r="G544" s="1" t="s">
        <v>1668</v>
      </c>
    </row>
    <row r="547" spans="1:8" x14ac:dyDescent="0.2">
      <c r="A547" s="151" t="s">
        <v>1577</v>
      </c>
      <c r="B547" s="152"/>
      <c r="C547" s="151"/>
      <c r="D547" s="152"/>
      <c r="E547" s="152"/>
      <c r="F547" s="152"/>
      <c r="G547" s="152"/>
      <c r="H547" s="152"/>
    </row>
    <row r="560" spans="1:8" x14ac:dyDescent="0.2">
      <c r="A560" s="18" t="s">
        <v>146</v>
      </c>
    </row>
    <row r="562" spans="1:14" x14ac:dyDescent="0.2">
      <c r="A562" s="1" t="s">
        <v>2397</v>
      </c>
    </row>
    <row r="563" spans="1:14" x14ac:dyDescent="0.2">
      <c r="A563" s="1" t="s">
        <v>2398</v>
      </c>
    </row>
    <row r="565" spans="1:14" x14ac:dyDescent="0.2">
      <c r="A565" s="1" t="s">
        <v>2279</v>
      </c>
      <c r="D565" s="27">
        <v>0</v>
      </c>
      <c r="E565" s="27">
        <v>1</v>
      </c>
      <c r="F565" s="27">
        <f>E565+1</f>
        <v>2</v>
      </c>
      <c r="G565" s="27">
        <f t="shared" ref="G565" si="7">F565+1</f>
        <v>3</v>
      </c>
      <c r="H565" s="27">
        <f t="shared" ref="H565" si="8">G565+1</f>
        <v>4</v>
      </c>
      <c r="I565" s="27">
        <f t="shared" ref="I565" si="9">H565+1</f>
        <v>5</v>
      </c>
      <c r="J565" s="27">
        <f t="shared" ref="J565" si="10">I565+1</f>
        <v>6</v>
      </c>
      <c r="K565" s="27">
        <f t="shared" ref="K565" si="11">J565+1</f>
        <v>7</v>
      </c>
      <c r="L565" s="27">
        <f t="shared" ref="L565" si="12">K565+1</f>
        <v>8</v>
      </c>
      <c r="M565" s="27">
        <f>L565+1</f>
        <v>9</v>
      </c>
      <c r="N565" s="27">
        <f t="shared" ref="N565" si="13">M565+1</f>
        <v>10</v>
      </c>
    </row>
    <row r="566" spans="1:14" x14ac:dyDescent="0.2">
      <c r="A566" s="1" t="s">
        <v>2277</v>
      </c>
      <c r="E566" s="20">
        <f>1600/10</f>
        <v>160</v>
      </c>
      <c r="F566" s="20">
        <f>E566</f>
        <v>160</v>
      </c>
      <c r="G566" s="20">
        <f t="shared" ref="G566" si="14">F566</f>
        <v>160</v>
      </c>
      <c r="H566" s="20">
        <f t="shared" ref="H566" si="15">G566</f>
        <v>160</v>
      </c>
      <c r="I566" s="20">
        <f t="shared" ref="I566" si="16">H566</f>
        <v>160</v>
      </c>
      <c r="J566" s="20">
        <f t="shared" ref="J566" si="17">I566</f>
        <v>160</v>
      </c>
      <c r="K566" s="20">
        <f t="shared" ref="K566" si="18">J566</f>
        <v>160</v>
      </c>
      <c r="L566" s="20">
        <f t="shared" ref="L566" si="19">K566</f>
        <v>160</v>
      </c>
      <c r="M566" s="20">
        <f t="shared" ref="M566" si="20">L566</f>
        <v>160</v>
      </c>
      <c r="N566" s="20">
        <f t="shared" ref="N566" si="21">M566</f>
        <v>160</v>
      </c>
    </row>
    <row r="567" spans="1:14" x14ac:dyDescent="0.2">
      <c r="A567" s="1" t="s">
        <v>2278</v>
      </c>
      <c r="E567" s="20">
        <f>1600/4</f>
        <v>400</v>
      </c>
      <c r="F567" s="20">
        <f>1600/4</f>
        <v>400</v>
      </c>
      <c r="G567" s="20">
        <f>1600/4</f>
        <v>400</v>
      </c>
      <c r="H567" s="20">
        <f>1600/4</f>
        <v>400</v>
      </c>
      <c r="I567" s="20"/>
      <c r="J567" s="20"/>
      <c r="K567" s="20"/>
      <c r="L567" s="20"/>
      <c r="M567" s="20"/>
      <c r="N567" s="20"/>
    </row>
    <row r="568" spans="1:14" x14ac:dyDescent="0.2">
      <c r="A568" s="1" t="s">
        <v>2282</v>
      </c>
      <c r="E568" s="98">
        <f>E567-E566</f>
        <v>240</v>
      </c>
      <c r="F568" s="98">
        <f>F567-F566</f>
        <v>240</v>
      </c>
      <c r="G568" s="98">
        <f>G567-G566</f>
        <v>240</v>
      </c>
      <c r="H568" s="98">
        <f>H567-H566</f>
        <v>240</v>
      </c>
      <c r="I568" s="98">
        <v>-160</v>
      </c>
      <c r="J568" s="98">
        <v>-160</v>
      </c>
      <c r="K568" s="98">
        <v>-160</v>
      </c>
      <c r="L568" s="98">
        <v>-160</v>
      </c>
      <c r="M568" s="98">
        <v>-160</v>
      </c>
      <c r="N568" s="98">
        <v>-160</v>
      </c>
    </row>
    <row r="569" spans="1:14" x14ac:dyDescent="0.2">
      <c r="A569" s="1" t="s">
        <v>2280</v>
      </c>
      <c r="E569" s="51">
        <v>0.25</v>
      </c>
      <c r="F569" s="51">
        <v>0.25</v>
      </c>
      <c r="G569" s="51">
        <v>0.25</v>
      </c>
      <c r="H569" s="51">
        <v>0.25</v>
      </c>
      <c r="I569" s="51">
        <v>0.25</v>
      </c>
      <c r="J569" s="51">
        <v>0.25</v>
      </c>
      <c r="K569" s="51">
        <v>0.25</v>
      </c>
      <c r="L569" s="51">
        <v>0.25</v>
      </c>
      <c r="M569" s="51">
        <v>0.25</v>
      </c>
      <c r="N569" s="51">
        <v>0.25</v>
      </c>
    </row>
    <row r="570" spans="1:14" x14ac:dyDescent="0.2">
      <c r="A570" s="1" t="s">
        <v>2281</v>
      </c>
      <c r="E570" s="308">
        <f>E568*E569</f>
        <v>60</v>
      </c>
      <c r="F570" s="308">
        <f>F568*F569</f>
        <v>60</v>
      </c>
      <c r="G570" s="308">
        <f>G568*G569</f>
        <v>60</v>
      </c>
      <c r="H570" s="308">
        <f>H568*H569</f>
        <v>60</v>
      </c>
      <c r="I570" s="308">
        <f>I568*I569</f>
        <v>-40</v>
      </c>
      <c r="J570" s="308">
        <f t="shared" ref="J570:N570" si="22">J568*J569</f>
        <v>-40</v>
      </c>
      <c r="K570" s="308">
        <f t="shared" si="22"/>
        <v>-40</v>
      </c>
      <c r="L570" s="308">
        <f t="shared" si="22"/>
        <v>-40</v>
      </c>
      <c r="M570" s="308">
        <f t="shared" si="22"/>
        <v>-40</v>
      </c>
      <c r="N570" s="308">
        <f t="shared" si="22"/>
        <v>-40</v>
      </c>
    </row>
    <row r="572" spans="1:14" x14ac:dyDescent="0.2">
      <c r="G572" s="1" t="s">
        <v>2399</v>
      </c>
    </row>
    <row r="573" spans="1:14" x14ac:dyDescent="0.2">
      <c r="F573" s="20">
        <v>6</v>
      </c>
      <c r="G573" s="1" t="s">
        <v>1270</v>
      </c>
    </row>
    <row r="575" spans="1:14" x14ac:dyDescent="0.2">
      <c r="D575" s="20" t="s">
        <v>87</v>
      </c>
      <c r="E575" s="20"/>
      <c r="G575" s="1" t="s">
        <v>1001</v>
      </c>
    </row>
    <row r="576" spans="1:14" x14ac:dyDescent="0.2">
      <c r="D576" s="20">
        <v>0</v>
      </c>
      <c r="E576" s="20">
        <v>1</v>
      </c>
    </row>
    <row r="577" spans="1:8" x14ac:dyDescent="0.2">
      <c r="D577" s="20">
        <f>E570</f>
        <v>60</v>
      </c>
      <c r="E577" s="20">
        <v>2</v>
      </c>
    </row>
    <row r="578" spans="1:8" x14ac:dyDescent="0.2">
      <c r="D578" s="20">
        <f>F570</f>
        <v>60</v>
      </c>
      <c r="E578" s="20">
        <v>3</v>
      </c>
    </row>
    <row r="579" spans="1:8" x14ac:dyDescent="0.2">
      <c r="D579" s="20">
        <f>D578</f>
        <v>60</v>
      </c>
      <c r="E579" s="20">
        <v>4</v>
      </c>
    </row>
    <row r="580" spans="1:8" x14ac:dyDescent="0.2">
      <c r="D580" s="20">
        <f>D579</f>
        <v>60</v>
      </c>
      <c r="E580" s="20">
        <v>5</v>
      </c>
    </row>
    <row r="581" spans="1:8" x14ac:dyDescent="0.2">
      <c r="D581" s="20">
        <f>I570</f>
        <v>-40</v>
      </c>
      <c r="E581" s="20">
        <v>6</v>
      </c>
    </row>
    <row r="582" spans="1:8" x14ac:dyDescent="0.2">
      <c r="D582" s="20">
        <f>D581</f>
        <v>-40</v>
      </c>
      <c r="E582" s="20">
        <v>7</v>
      </c>
    </row>
    <row r="583" spans="1:8" x14ac:dyDescent="0.2">
      <c r="D583" s="20">
        <f>D582</f>
        <v>-40</v>
      </c>
      <c r="E583" s="20">
        <v>8</v>
      </c>
    </row>
    <row r="584" spans="1:8" x14ac:dyDescent="0.2">
      <c r="D584" s="20">
        <f>D583</f>
        <v>-40</v>
      </c>
      <c r="E584" s="20">
        <v>9</v>
      </c>
    </row>
    <row r="585" spans="1:8" x14ac:dyDescent="0.2">
      <c r="D585" s="20">
        <f>D584</f>
        <v>-40</v>
      </c>
      <c r="E585" s="20">
        <v>10</v>
      </c>
    </row>
    <row r="586" spans="1:8" x14ac:dyDescent="0.2">
      <c r="D586" s="20">
        <f>D585</f>
        <v>-40</v>
      </c>
      <c r="E586" s="20">
        <v>11</v>
      </c>
    </row>
    <row r="588" spans="1:8" x14ac:dyDescent="0.2">
      <c r="A588" s="1" t="s">
        <v>2400</v>
      </c>
      <c r="D588" s="30">
        <f>NPV(F573/100,D577:D586)+D576</f>
        <v>52.107079213377816</v>
      </c>
      <c r="G588" s="1" t="s">
        <v>90</v>
      </c>
      <c r="H588" s="1" t="s">
        <v>227</v>
      </c>
    </row>
    <row r="589" spans="1:8" x14ac:dyDescent="0.2">
      <c r="A589" s="1" t="s">
        <v>2401</v>
      </c>
      <c r="D589" s="24">
        <v>1100</v>
      </c>
    </row>
    <row r="590" spans="1:8" x14ac:dyDescent="0.2">
      <c r="A590" s="1" t="s">
        <v>2402</v>
      </c>
      <c r="D590" s="325">
        <f>D588+D589</f>
        <v>1152.1070792133778</v>
      </c>
    </row>
    <row r="592" spans="1:8" x14ac:dyDescent="0.2">
      <c r="A592" s="151" t="s">
        <v>1485</v>
      </c>
      <c r="B592" s="152"/>
      <c r="C592" s="152"/>
      <c r="D592" s="152"/>
      <c r="E592" s="152"/>
      <c r="F592" s="152"/>
      <c r="G592" s="152"/>
      <c r="H592" s="152"/>
    </row>
    <row r="594" spans="1:1" x14ac:dyDescent="0.2">
      <c r="A594" s="1" t="s">
        <v>1761</v>
      </c>
    </row>
    <row r="595" spans="1:1" x14ac:dyDescent="0.2">
      <c r="A595" s="1" t="s">
        <v>1762</v>
      </c>
    </row>
    <row r="596" spans="1:1" x14ac:dyDescent="0.2">
      <c r="A596" s="1" t="s">
        <v>1763</v>
      </c>
    </row>
    <row r="598" spans="1:1" x14ac:dyDescent="0.2">
      <c r="A598" s="1" t="s">
        <v>146</v>
      </c>
    </row>
    <row r="600" spans="1:1" x14ac:dyDescent="0.2">
      <c r="A600" s="1" t="s">
        <v>1764</v>
      </c>
    </row>
    <row r="601" spans="1:1" x14ac:dyDescent="0.2">
      <c r="A601" s="1" t="s">
        <v>1765</v>
      </c>
    </row>
    <row r="602" spans="1:1" x14ac:dyDescent="0.2">
      <c r="A602" s="1" t="s">
        <v>1766</v>
      </c>
    </row>
    <row r="603" spans="1:1" x14ac:dyDescent="0.2">
      <c r="A603" s="1" t="s">
        <v>1767</v>
      </c>
    </row>
    <row r="605" spans="1:1" x14ac:dyDescent="0.2">
      <c r="A605" s="1" t="s">
        <v>1768</v>
      </c>
    </row>
    <row r="607" spans="1:1" x14ac:dyDescent="0.2">
      <c r="A607" s="1" t="s">
        <v>1769</v>
      </c>
    </row>
    <row r="608" spans="1:1" x14ac:dyDescent="0.2">
      <c r="A608" s="1" t="s">
        <v>2546</v>
      </c>
    </row>
    <row r="609" spans="1:1" x14ac:dyDescent="0.2">
      <c r="A609" s="1" t="s">
        <v>2547</v>
      </c>
    </row>
    <row r="610" spans="1:1" x14ac:dyDescent="0.2">
      <c r="A610" s="1" t="s">
        <v>1770</v>
      </c>
    </row>
    <row r="612" spans="1:1" x14ac:dyDescent="0.2">
      <c r="A612" s="1" t="s">
        <v>1771</v>
      </c>
    </row>
    <row r="613" spans="1:1" x14ac:dyDescent="0.2">
      <c r="A613" s="1" t="s">
        <v>1772</v>
      </c>
    </row>
    <row r="614" spans="1:1" x14ac:dyDescent="0.2">
      <c r="A614" s="1" t="s">
        <v>1773</v>
      </c>
    </row>
    <row r="619" spans="1:1" x14ac:dyDescent="0.2">
      <c r="A619" s="1" t="s">
        <v>1774</v>
      </c>
    </row>
    <row r="622" spans="1:1" x14ac:dyDescent="0.2">
      <c r="A622" s="1" t="s">
        <v>1775</v>
      </c>
    </row>
    <row r="623" spans="1:1" x14ac:dyDescent="0.2">
      <c r="A623" s="1" t="s">
        <v>1776</v>
      </c>
    </row>
    <row r="624" spans="1:1" x14ac:dyDescent="0.2">
      <c r="A624" s="1" t="s">
        <v>1777</v>
      </c>
    </row>
    <row r="625" spans="1:7" x14ac:dyDescent="0.2">
      <c r="A625" s="1" t="s">
        <v>1778</v>
      </c>
    </row>
    <row r="626" spans="1:7" x14ac:dyDescent="0.2">
      <c r="A626" s="1" t="s">
        <v>1779</v>
      </c>
    </row>
    <row r="627" spans="1:7" x14ac:dyDescent="0.2">
      <c r="A627" s="1" t="s">
        <v>1780</v>
      </c>
    </row>
    <row r="628" spans="1:7" x14ac:dyDescent="0.2">
      <c r="A628" s="1" t="s">
        <v>1781</v>
      </c>
    </row>
    <row r="629" spans="1:7" x14ac:dyDescent="0.2">
      <c r="A629" s="1" t="s">
        <v>1782</v>
      </c>
    </row>
    <row r="630" spans="1:7" x14ac:dyDescent="0.2">
      <c r="A630" s="1" t="s">
        <v>1783</v>
      </c>
    </row>
    <row r="631" spans="1:7" x14ac:dyDescent="0.2">
      <c r="A631" s="1" t="s">
        <v>1784</v>
      </c>
    </row>
    <row r="633" spans="1:7" x14ac:dyDescent="0.2">
      <c r="A633" s="1" t="s">
        <v>1785</v>
      </c>
    </row>
    <row r="635" spans="1:7" x14ac:dyDescent="0.2">
      <c r="F635" s="1" t="s">
        <v>75</v>
      </c>
      <c r="G635" s="1" t="s">
        <v>111</v>
      </c>
    </row>
    <row r="636" spans="1:7" x14ac:dyDescent="0.2">
      <c r="F636" s="1">
        <f>10*12</f>
        <v>120</v>
      </c>
      <c r="G636" s="1" t="s">
        <v>62</v>
      </c>
    </row>
    <row r="637" spans="1:7" x14ac:dyDescent="0.2">
      <c r="F637" s="1">
        <v>2</v>
      </c>
      <c r="G637" s="1" t="s">
        <v>63</v>
      </c>
    </row>
    <row r="638" spans="1:7" x14ac:dyDescent="0.2">
      <c r="F638" s="177">
        <f>PV(F637/100,F636,F639,F640)</f>
        <v>-113388.47125650903</v>
      </c>
      <c r="G638" s="1" t="s">
        <v>64</v>
      </c>
    </row>
    <row r="639" spans="1:7" x14ac:dyDescent="0.2">
      <c r="F639" s="1">
        <v>2500</v>
      </c>
      <c r="G639" s="1" t="s">
        <v>65</v>
      </c>
    </row>
    <row r="640" spans="1:7" x14ac:dyDescent="0.2">
      <c r="F640" s="1">
        <v>0</v>
      </c>
      <c r="G640" s="1" t="s">
        <v>66</v>
      </c>
    </row>
    <row r="653" spans="1:8" x14ac:dyDescent="0.2">
      <c r="A653" s="151" t="s">
        <v>1226</v>
      </c>
      <c r="B653" s="152"/>
      <c r="C653" s="152"/>
      <c r="D653" s="152"/>
      <c r="E653" s="152"/>
      <c r="F653" s="152"/>
      <c r="G653" s="152"/>
      <c r="H653" s="152"/>
    </row>
    <row r="655" spans="1:8" x14ac:dyDescent="0.2">
      <c r="A655" s="1" t="s">
        <v>1429</v>
      </c>
    </row>
    <row r="656" spans="1:8" x14ac:dyDescent="0.2">
      <c r="A656" s="128"/>
      <c r="B656" s="128">
        <v>0</v>
      </c>
      <c r="C656" s="128">
        <v>1</v>
      </c>
      <c r="D656" s="128">
        <v>2</v>
      </c>
      <c r="E656" s="128">
        <v>3</v>
      </c>
    </row>
    <row r="657" spans="1:5" x14ac:dyDescent="0.2">
      <c r="A657" s="128" t="s">
        <v>740</v>
      </c>
      <c r="B657" s="128">
        <v>-90000</v>
      </c>
      <c r="C657" s="128">
        <v>40000</v>
      </c>
      <c r="D657" s="128">
        <v>50000</v>
      </c>
      <c r="E657" s="128">
        <v>60000</v>
      </c>
    </row>
    <row r="659" spans="1:5" x14ac:dyDescent="0.2">
      <c r="A659" s="1" t="s">
        <v>1430</v>
      </c>
    </row>
    <row r="661" spans="1:5" x14ac:dyDescent="0.2">
      <c r="A661" s="1" t="s">
        <v>1669</v>
      </c>
    </row>
    <row r="663" spans="1:5" x14ac:dyDescent="0.2">
      <c r="A663" s="18" t="s">
        <v>191</v>
      </c>
    </row>
    <row r="665" spans="1:5" x14ac:dyDescent="0.2">
      <c r="A665" s="1" t="s">
        <v>1670</v>
      </c>
    </row>
    <row r="667" spans="1:5" x14ac:dyDescent="0.2">
      <c r="A667" s="1" t="s">
        <v>1671</v>
      </c>
    </row>
    <row r="669" spans="1:5" x14ac:dyDescent="0.2">
      <c r="A669" s="1" t="s">
        <v>1672</v>
      </c>
    </row>
    <row r="671" spans="1:5" x14ac:dyDescent="0.2">
      <c r="A671" s="1" t="s">
        <v>1431</v>
      </c>
    </row>
    <row r="672" spans="1:5" x14ac:dyDescent="0.2">
      <c r="A672" s="1" t="s">
        <v>1432</v>
      </c>
    </row>
    <row r="674" spans="1:8" x14ac:dyDescent="0.2">
      <c r="A674" s="128"/>
      <c r="B674" s="128">
        <v>0</v>
      </c>
      <c r="C674" s="128">
        <v>1</v>
      </c>
      <c r="D674" s="128">
        <v>2</v>
      </c>
      <c r="E674" s="128">
        <v>3</v>
      </c>
    </row>
    <row r="675" spans="1:8" x14ac:dyDescent="0.2">
      <c r="A675" s="128" t="s">
        <v>1673</v>
      </c>
      <c r="B675" s="128">
        <v>-90000</v>
      </c>
      <c r="C675" s="128">
        <v>40000</v>
      </c>
      <c r="D675" s="128">
        <v>50000</v>
      </c>
      <c r="E675" s="128">
        <v>60000</v>
      </c>
      <c r="F675" s="1" t="s">
        <v>1674</v>
      </c>
    </row>
    <row r="676" spans="1:8" x14ac:dyDescent="0.2">
      <c r="A676" s="169" t="s">
        <v>1677</v>
      </c>
      <c r="B676" s="128"/>
      <c r="C676" s="128">
        <f>C675*70%</f>
        <v>28000</v>
      </c>
      <c r="D676" s="128">
        <f>D675*70%</f>
        <v>35000</v>
      </c>
      <c r="E676" s="128">
        <f>E675*70%</f>
        <v>42000</v>
      </c>
      <c r="G676" s="1" t="s">
        <v>1675</v>
      </c>
    </row>
    <row r="677" spans="1:8" x14ac:dyDescent="0.2">
      <c r="A677" s="169" t="s">
        <v>1678</v>
      </c>
      <c r="B677" s="128"/>
      <c r="C677" s="128">
        <f>C675*30%</f>
        <v>12000</v>
      </c>
      <c r="D677" s="128">
        <f>D675*30%</f>
        <v>15000</v>
      </c>
      <c r="E677" s="128">
        <f>E675*30%</f>
        <v>18000</v>
      </c>
      <c r="G677" s="1" t="s">
        <v>1676</v>
      </c>
    </row>
    <row r="679" spans="1:8" x14ac:dyDescent="0.2">
      <c r="A679" s="1" t="s">
        <v>1685</v>
      </c>
    </row>
    <row r="680" spans="1:8" x14ac:dyDescent="0.2">
      <c r="A680" s="1" t="s">
        <v>1679</v>
      </c>
    </row>
    <row r="683" spans="1:8" x14ac:dyDescent="0.2">
      <c r="F683" s="1" t="s">
        <v>1680</v>
      </c>
      <c r="H683" s="1" t="s">
        <v>1682</v>
      </c>
    </row>
    <row r="684" spans="1:8" x14ac:dyDescent="0.2">
      <c r="E684" s="190">
        <f>1.04*1.06-1</f>
        <v>0.10240000000000005</v>
      </c>
      <c r="F684" s="20" t="s">
        <v>1681</v>
      </c>
      <c r="H684" s="1" t="s">
        <v>1683</v>
      </c>
    </row>
    <row r="685" spans="1:8" x14ac:dyDescent="0.2">
      <c r="H685" s="1" t="s">
        <v>1684</v>
      </c>
    </row>
    <row r="687" spans="1:8" x14ac:dyDescent="0.2">
      <c r="A687" s="1" t="s">
        <v>1433</v>
      </c>
      <c r="C687" s="20" t="s">
        <v>1686</v>
      </c>
      <c r="D687" s="20" t="s">
        <v>1686</v>
      </c>
      <c r="F687" s="1" t="s">
        <v>84</v>
      </c>
    </row>
    <row r="688" spans="1:8" x14ac:dyDescent="0.2">
      <c r="C688" s="20" t="s">
        <v>701</v>
      </c>
      <c r="D688" s="20" t="s">
        <v>1452</v>
      </c>
    </row>
    <row r="689" spans="1:6" x14ac:dyDescent="0.2">
      <c r="C689" s="20" t="s">
        <v>757</v>
      </c>
      <c r="D689" s="20" t="s">
        <v>758</v>
      </c>
    </row>
    <row r="690" spans="1:6" x14ac:dyDescent="0.2">
      <c r="C690" s="191">
        <f>(1.04*1.06-1)*100</f>
        <v>10.240000000000006</v>
      </c>
      <c r="D690" s="31">
        <v>4</v>
      </c>
      <c r="F690" s="1" t="s">
        <v>63</v>
      </c>
    </row>
    <row r="691" spans="1:6" x14ac:dyDescent="0.2">
      <c r="C691" s="20"/>
      <c r="D691" s="20"/>
    </row>
    <row r="692" spans="1:6" x14ac:dyDescent="0.2">
      <c r="C692" s="20">
        <v>0</v>
      </c>
      <c r="D692" s="20">
        <v>0</v>
      </c>
      <c r="E692" s="1">
        <v>1</v>
      </c>
      <c r="F692" s="1" t="s">
        <v>1001</v>
      </c>
    </row>
    <row r="693" spans="1:6" x14ac:dyDescent="0.2">
      <c r="C693" s="20">
        <f>C677</f>
        <v>12000</v>
      </c>
      <c r="D693" s="20">
        <f>C676</f>
        <v>28000</v>
      </c>
      <c r="E693" s="1">
        <v>2</v>
      </c>
    </row>
    <row r="694" spans="1:6" x14ac:dyDescent="0.2">
      <c r="C694" s="20">
        <f>D677</f>
        <v>15000</v>
      </c>
      <c r="D694" s="20">
        <f>D676</f>
        <v>35000</v>
      </c>
      <c r="E694" s="1">
        <v>3</v>
      </c>
    </row>
    <row r="695" spans="1:6" x14ac:dyDescent="0.2">
      <c r="C695" s="20">
        <f>E677</f>
        <v>18000</v>
      </c>
      <c r="D695" s="20">
        <f>E676</f>
        <v>42000</v>
      </c>
      <c r="E695" s="1">
        <v>4</v>
      </c>
    </row>
    <row r="696" spans="1:6" x14ac:dyDescent="0.2">
      <c r="C696" s="20"/>
      <c r="D696" s="20"/>
    </row>
    <row r="697" spans="1:6" x14ac:dyDescent="0.2">
      <c r="A697" s="1" t="s">
        <v>1434</v>
      </c>
      <c r="C697" s="150">
        <f>NPV(C690/100,C693:C695)</f>
        <v>36663.649881843819</v>
      </c>
      <c r="D697" s="150">
        <f>NPV(D690/100,D693:D695)</f>
        <v>96620.391442876644</v>
      </c>
      <c r="E697" s="1" t="s">
        <v>90</v>
      </c>
      <c r="F697" s="1" t="s">
        <v>227</v>
      </c>
    </row>
    <row r="699" spans="1:6" x14ac:dyDescent="0.2">
      <c r="A699" s="1" t="s">
        <v>1435</v>
      </c>
    </row>
    <row r="701" spans="1:6" x14ac:dyDescent="0.2">
      <c r="A701" s="18" t="s">
        <v>259</v>
      </c>
      <c r="B701" s="188">
        <f>C697+D697+B675</f>
        <v>43284.041324720456</v>
      </c>
      <c r="E701" s="1" t="s">
        <v>1436</v>
      </c>
    </row>
    <row r="704" spans="1:6" x14ac:dyDescent="0.2">
      <c r="A704" s="1" t="s">
        <v>1691</v>
      </c>
      <c r="D704" s="1" t="s">
        <v>1687</v>
      </c>
    </row>
    <row r="705" spans="1:8" x14ac:dyDescent="0.2">
      <c r="A705" s="1" t="s">
        <v>1692</v>
      </c>
      <c r="D705" s="1" t="s">
        <v>1688</v>
      </c>
    </row>
    <row r="706" spans="1:8" x14ac:dyDescent="0.2">
      <c r="A706" s="1" t="s">
        <v>1693</v>
      </c>
    </row>
    <row r="707" spans="1:8" x14ac:dyDescent="0.2">
      <c r="C707" s="1" t="s">
        <v>1689</v>
      </c>
    </row>
    <row r="708" spans="1:8" x14ac:dyDescent="0.2">
      <c r="C708" s="1" t="s">
        <v>1690</v>
      </c>
    </row>
    <row r="711" spans="1:8" x14ac:dyDescent="0.2">
      <c r="A711" s="151" t="s">
        <v>1240</v>
      </c>
      <c r="B711" s="152"/>
      <c r="C711" s="152"/>
      <c r="D711" s="152"/>
      <c r="E711" s="152"/>
      <c r="F711" s="152"/>
      <c r="G711" s="152"/>
      <c r="H711" s="152"/>
    </row>
    <row r="712" spans="1:8" s="356" customFormat="1" x14ac:dyDescent="0.2">
      <c r="A712" s="355"/>
    </row>
    <row r="713" spans="1:8" s="356" customFormat="1" x14ac:dyDescent="0.2">
      <c r="A713" s="355"/>
    </row>
    <row r="714" spans="1:8" s="356" customFormat="1" x14ac:dyDescent="0.2">
      <c r="A714" s="355"/>
    </row>
    <row r="715" spans="1:8" s="356" customFormat="1" x14ac:dyDescent="0.2">
      <c r="A715" s="355"/>
    </row>
    <row r="716" spans="1:8" s="356" customFormat="1" x14ac:dyDescent="0.2">
      <c r="A716" s="355"/>
    </row>
    <row r="717" spans="1:8" s="356" customFormat="1" x14ac:dyDescent="0.2">
      <c r="A717" s="355"/>
    </row>
    <row r="718" spans="1:8" s="356" customFormat="1" x14ac:dyDescent="0.2">
      <c r="A718" s="355"/>
    </row>
    <row r="719" spans="1:8" s="356" customFormat="1" x14ac:dyDescent="0.2">
      <c r="A719" s="355"/>
    </row>
    <row r="720" spans="1:8" s="356" customFormat="1" x14ac:dyDescent="0.2">
      <c r="A720" s="355"/>
    </row>
    <row r="721" spans="1:14" s="356" customFormat="1" x14ac:dyDescent="0.2">
      <c r="A721" s="355"/>
    </row>
    <row r="722" spans="1:14" s="356" customFormat="1" x14ac:dyDescent="0.2">
      <c r="A722" s="355"/>
    </row>
    <row r="723" spans="1:14" s="356" customFormat="1" x14ac:dyDescent="0.2">
      <c r="A723" s="355"/>
      <c r="J723" s="355" t="s">
        <v>2771</v>
      </c>
      <c r="K723" s="355"/>
      <c r="L723" s="355"/>
      <c r="M723" s="355"/>
    </row>
    <row r="724" spans="1:14" s="356" customFormat="1" x14ac:dyDescent="0.2">
      <c r="A724" s="355"/>
      <c r="J724" s="355" t="s">
        <v>2772</v>
      </c>
      <c r="K724" s="355"/>
      <c r="L724" s="355"/>
      <c r="M724" s="355"/>
    </row>
    <row r="725" spans="1:14" s="356" customFormat="1" x14ac:dyDescent="0.2">
      <c r="A725" s="355"/>
    </row>
    <row r="726" spans="1:14" s="356" customFormat="1" x14ac:dyDescent="0.2">
      <c r="A726" s="355"/>
      <c r="J726" s="355" t="s">
        <v>2773</v>
      </c>
      <c r="K726" s="355"/>
      <c r="L726" s="355"/>
      <c r="M726" s="355"/>
      <c r="N726" s="355"/>
    </row>
    <row r="727" spans="1:14" s="356" customFormat="1" x14ac:dyDescent="0.2">
      <c r="A727" s="355"/>
      <c r="J727" s="355" t="s">
        <v>2774</v>
      </c>
      <c r="K727" s="355"/>
      <c r="L727" s="355"/>
      <c r="M727" s="355"/>
      <c r="N727" s="355"/>
    </row>
    <row r="728" spans="1:14" s="356" customFormat="1" x14ac:dyDescent="0.2">
      <c r="A728" s="355"/>
    </row>
    <row r="729" spans="1:14" s="356" customFormat="1" x14ac:dyDescent="0.2">
      <c r="A729" s="355"/>
    </row>
    <row r="730" spans="1:14" s="356" customFormat="1" x14ac:dyDescent="0.2">
      <c r="A730" s="355"/>
    </row>
    <row r="731" spans="1:14" s="356" customFormat="1" x14ac:dyDescent="0.2">
      <c r="A731" s="355"/>
    </row>
    <row r="732" spans="1:14" s="356" customFormat="1" x14ac:dyDescent="0.2">
      <c r="A732" s="355"/>
    </row>
    <row r="733" spans="1:14" x14ac:dyDescent="0.2">
      <c r="A733" s="1" t="s">
        <v>1250</v>
      </c>
      <c r="H733" s="1" t="s">
        <v>1251</v>
      </c>
    </row>
    <row r="734" spans="1:14" x14ac:dyDescent="0.2">
      <c r="A734" s="1" t="s">
        <v>1252</v>
      </c>
    </row>
    <row r="735" spans="1:14" x14ac:dyDescent="0.2">
      <c r="A735" s="1" t="s">
        <v>1253</v>
      </c>
      <c r="H735" s="1" t="s">
        <v>1254</v>
      </c>
    </row>
    <row r="737" spans="1:17" x14ac:dyDescent="0.2">
      <c r="A737" s="1" t="s">
        <v>1255</v>
      </c>
    </row>
    <row r="738" spans="1:17" x14ac:dyDescent="0.2">
      <c r="A738" s="1" t="s">
        <v>1256</v>
      </c>
    </row>
    <row r="739" spans="1:17" x14ac:dyDescent="0.2">
      <c r="A739" s="1" t="s">
        <v>1257</v>
      </c>
    </row>
    <row r="741" spans="1:17" x14ac:dyDescent="0.2">
      <c r="A741" s="357" t="s">
        <v>739</v>
      </c>
      <c r="C741" s="27">
        <v>0</v>
      </c>
      <c r="D741" s="27">
        <v>1</v>
      </c>
      <c r="E741" s="27">
        <v>2</v>
      </c>
      <c r="F741" s="27">
        <v>3</v>
      </c>
      <c r="G741" s="27">
        <v>4</v>
      </c>
    </row>
    <row r="742" spans="1:17" x14ac:dyDescent="0.2">
      <c r="A742" s="29" t="s">
        <v>1258</v>
      </c>
      <c r="C742" s="20"/>
      <c r="D742" s="101">
        <v>300000</v>
      </c>
      <c r="E742" s="101">
        <v>300000</v>
      </c>
      <c r="F742" s="101">
        <f t="shared" ref="F742:G744" si="23">E742</f>
        <v>300000</v>
      </c>
      <c r="G742" s="101">
        <f t="shared" si="23"/>
        <v>300000</v>
      </c>
      <c r="J742" s="1" t="s">
        <v>2775</v>
      </c>
    </row>
    <row r="743" spans="1:17" x14ac:dyDescent="0.2">
      <c r="A743" s="29" t="s">
        <v>1259</v>
      </c>
      <c r="D743" s="101">
        <v>-100000</v>
      </c>
      <c r="E743" s="101">
        <f>D743</f>
        <v>-100000</v>
      </c>
      <c r="F743" s="101">
        <f t="shared" si="23"/>
        <v>-100000</v>
      </c>
      <c r="G743" s="101">
        <f t="shared" si="23"/>
        <v>-100000</v>
      </c>
      <c r="J743" s="1" t="s">
        <v>2776</v>
      </c>
    </row>
    <row r="744" spans="1:17" x14ac:dyDescent="0.2">
      <c r="A744" s="358" t="s">
        <v>1260</v>
      </c>
      <c r="C744" s="52"/>
      <c r="D744" s="153">
        <f>-D795</f>
        <v>-150000</v>
      </c>
      <c r="E744" s="153">
        <f>D744</f>
        <v>-150000</v>
      </c>
      <c r="F744" s="153">
        <f t="shared" si="23"/>
        <v>-150000</v>
      </c>
      <c r="G744" s="153">
        <f t="shared" si="23"/>
        <v>-150000</v>
      </c>
      <c r="M744" s="1" t="s">
        <v>2777</v>
      </c>
    </row>
    <row r="745" spans="1:17" x14ac:dyDescent="0.2">
      <c r="A745" s="358" t="s">
        <v>1261</v>
      </c>
      <c r="C745" s="52"/>
      <c r="D745" s="153"/>
      <c r="E745" s="153"/>
      <c r="F745" s="153"/>
      <c r="G745" s="154">
        <f>D816</f>
        <v>50000</v>
      </c>
      <c r="I745" s="360" t="s">
        <v>2789</v>
      </c>
    </row>
    <row r="746" spans="1:17" x14ac:dyDescent="0.2">
      <c r="A746" s="29" t="s">
        <v>1262</v>
      </c>
      <c r="C746" s="105">
        <f>SUM(C742:C745)</f>
        <v>0</v>
      </c>
      <c r="D746" s="105">
        <f>SUM(D742:D745)</f>
        <v>50000</v>
      </c>
      <c r="E746" s="105">
        <f>SUM(E742:E745)</f>
        <v>50000</v>
      </c>
      <c r="F746" s="105">
        <f>SUM(F742:F745)</f>
        <v>50000</v>
      </c>
      <c r="G746" s="105">
        <f>SUM(G742:G745)</f>
        <v>100000</v>
      </c>
      <c r="I746" s="361" t="s">
        <v>2790</v>
      </c>
      <c r="J746" s="1" t="s">
        <v>2778</v>
      </c>
    </row>
    <row r="747" spans="1:17" x14ac:dyDescent="0.2">
      <c r="A747" s="29" t="s">
        <v>1263</v>
      </c>
      <c r="D747" s="101">
        <f>-20%*D746</f>
        <v>-10000</v>
      </c>
      <c r="E747" s="101">
        <f>-20%*E746</f>
        <v>-10000</v>
      </c>
      <c r="F747" s="101">
        <f>-20%*F746</f>
        <v>-10000</v>
      </c>
      <c r="G747" s="101">
        <f>-20%*G746</f>
        <v>-20000</v>
      </c>
      <c r="I747" s="361" t="s">
        <v>2791</v>
      </c>
      <c r="J747" s="1" t="s">
        <v>2779</v>
      </c>
    </row>
    <row r="748" spans="1:17" x14ac:dyDescent="0.2">
      <c r="A748" s="29" t="s">
        <v>1264</v>
      </c>
      <c r="C748" s="101">
        <v>-700000</v>
      </c>
      <c r="I748" s="361" t="s">
        <v>2792</v>
      </c>
      <c r="J748" s="1" t="s">
        <v>2780</v>
      </c>
    </row>
    <row r="749" spans="1:17" x14ac:dyDescent="0.2">
      <c r="A749" s="358" t="s">
        <v>1265</v>
      </c>
      <c r="C749" s="52"/>
      <c r="D749" s="52"/>
      <c r="E749" s="52"/>
      <c r="F749" s="52"/>
      <c r="G749" s="155">
        <v>100000</v>
      </c>
      <c r="I749" s="361" t="s">
        <v>2793</v>
      </c>
      <c r="J749" s="1" t="s">
        <v>2781</v>
      </c>
      <c r="N749" s="24">
        <v>150000</v>
      </c>
    </row>
    <row r="750" spans="1:17" x14ac:dyDescent="0.2">
      <c r="A750" s="358" t="s">
        <v>1266</v>
      </c>
      <c r="C750" s="52"/>
      <c r="D750" s="153">
        <f>-D744</f>
        <v>150000</v>
      </c>
      <c r="E750" s="153">
        <f t="shared" ref="E750:G750" si="24">-E744</f>
        <v>150000</v>
      </c>
      <c r="F750" s="153">
        <f t="shared" si="24"/>
        <v>150000</v>
      </c>
      <c r="G750" s="153">
        <f t="shared" si="24"/>
        <v>150000</v>
      </c>
      <c r="I750" s="361" t="s">
        <v>2794</v>
      </c>
      <c r="J750" s="1" t="s">
        <v>2782</v>
      </c>
      <c r="N750" s="359">
        <v>-100000</v>
      </c>
      <c r="Q750" s="1" t="s">
        <v>2783</v>
      </c>
    </row>
    <row r="751" spans="1:17" x14ac:dyDescent="0.2">
      <c r="A751" s="29" t="s">
        <v>1267</v>
      </c>
      <c r="C751" s="105">
        <f>SUM(C746:C750)</f>
        <v>-700000</v>
      </c>
      <c r="D751" s="105">
        <f>SUM(D746:D750)</f>
        <v>190000</v>
      </c>
      <c r="E751" s="105">
        <f>SUM(E746:E750)</f>
        <v>190000</v>
      </c>
      <c r="F751" s="105">
        <f>SUM(F746:F750)</f>
        <v>190000</v>
      </c>
      <c r="G751" s="105">
        <f>SUM(G746:G750)</f>
        <v>330000</v>
      </c>
      <c r="I751" s="361" t="s">
        <v>2795</v>
      </c>
      <c r="J751" s="1" t="s">
        <v>2784</v>
      </c>
      <c r="N751" s="154">
        <f>N749+N750</f>
        <v>50000</v>
      </c>
    </row>
    <row r="752" spans="1:17" x14ac:dyDescent="0.2">
      <c r="I752" s="361" t="s">
        <v>2796</v>
      </c>
    </row>
    <row r="753" spans="1:12" x14ac:dyDescent="0.2">
      <c r="A753" s="1" t="s">
        <v>1268</v>
      </c>
      <c r="I753" s="361" t="s">
        <v>2797</v>
      </c>
      <c r="J753" s="1" t="s">
        <v>2785</v>
      </c>
    </row>
    <row r="754" spans="1:12" x14ac:dyDescent="0.2">
      <c r="I754" s="361" t="s">
        <v>2798</v>
      </c>
      <c r="J754" s="1" t="s">
        <v>2786</v>
      </c>
    </row>
    <row r="755" spans="1:12" x14ac:dyDescent="0.2">
      <c r="F755" s="1" t="s">
        <v>84</v>
      </c>
      <c r="I755" s="361" t="s">
        <v>2799</v>
      </c>
      <c r="J755" s="1" t="s">
        <v>2787</v>
      </c>
    </row>
    <row r="756" spans="1:12" x14ac:dyDescent="0.2">
      <c r="A756" s="1" t="s">
        <v>1269</v>
      </c>
      <c r="E756" s="1">
        <v>10.199999999999999</v>
      </c>
      <c r="F756" s="1" t="s">
        <v>1270</v>
      </c>
      <c r="I756" s="361" t="s">
        <v>2800</v>
      </c>
      <c r="J756" s="1" t="s">
        <v>2788</v>
      </c>
    </row>
    <row r="757" spans="1:12" x14ac:dyDescent="0.2">
      <c r="B757" s="20" t="s">
        <v>87</v>
      </c>
      <c r="C757" s="20"/>
      <c r="F757" s="1" t="s">
        <v>1271</v>
      </c>
      <c r="I757" s="361" t="s">
        <v>2801</v>
      </c>
    </row>
    <row r="758" spans="1:12" x14ac:dyDescent="0.2">
      <c r="A758" s="1" t="s">
        <v>1272</v>
      </c>
      <c r="B758" s="20">
        <v>-700000</v>
      </c>
      <c r="C758" s="20">
        <v>1</v>
      </c>
      <c r="I758" s="361" t="s">
        <v>2802</v>
      </c>
    </row>
    <row r="759" spans="1:12" x14ac:dyDescent="0.2">
      <c r="A759" s="1" t="s">
        <v>1273</v>
      </c>
      <c r="B759" s="20">
        <v>190000</v>
      </c>
      <c r="C759" s="20">
        <v>2</v>
      </c>
      <c r="I759" s="362" t="s">
        <v>2803</v>
      </c>
    </row>
    <row r="760" spans="1:12" x14ac:dyDescent="0.2">
      <c r="A760" s="1" t="s">
        <v>1274</v>
      </c>
      <c r="B760" s="20">
        <v>190000</v>
      </c>
      <c r="C760" s="20">
        <v>3</v>
      </c>
    </row>
    <row r="761" spans="1:12" ht="26" x14ac:dyDescent="0.3">
      <c r="A761" s="1" t="s">
        <v>1275</v>
      </c>
      <c r="B761" s="20">
        <v>190000</v>
      </c>
      <c r="C761" s="20">
        <v>4</v>
      </c>
      <c r="I761" s="363"/>
      <c r="J761" s="363" t="s">
        <v>2804</v>
      </c>
      <c r="K761" s="363"/>
      <c r="L761" s="363"/>
    </row>
    <row r="762" spans="1:12" x14ac:dyDescent="0.2">
      <c r="A762" s="1" t="s">
        <v>1276</v>
      </c>
      <c r="B762" s="20">
        <v>330000</v>
      </c>
      <c r="C762" s="20">
        <v>5</v>
      </c>
      <c r="D762" s="1" t="s">
        <v>1277</v>
      </c>
    </row>
    <row r="764" spans="1:12" x14ac:dyDescent="0.2">
      <c r="D764" s="1" t="s">
        <v>89</v>
      </c>
      <c r="E764" s="32">
        <f>NPV(10.2%,B759:B762)+B758</f>
        <v>-5394.2275513302302</v>
      </c>
      <c r="F764" s="1" t="s">
        <v>1278</v>
      </c>
    </row>
    <row r="765" spans="1:12" x14ac:dyDescent="0.2">
      <c r="E765" s="156">
        <f>IRR(B758:B762)</f>
        <v>9.8729207658990514E-2</v>
      </c>
      <c r="F765" s="1" t="s">
        <v>1279</v>
      </c>
    </row>
    <row r="767" spans="1:12" x14ac:dyDescent="0.2">
      <c r="A767" s="18" t="s">
        <v>1280</v>
      </c>
    </row>
    <row r="769" spans="1:1" x14ac:dyDescent="0.2">
      <c r="A769" s="1" t="s">
        <v>1281</v>
      </c>
    </row>
    <row r="770" spans="1:1" x14ac:dyDescent="0.2">
      <c r="A770" s="1" t="s">
        <v>1282</v>
      </c>
    </row>
    <row r="771" spans="1:1" x14ac:dyDescent="0.2">
      <c r="A771" s="1" t="s">
        <v>1283</v>
      </c>
    </row>
    <row r="772" spans="1:1" x14ac:dyDescent="0.2">
      <c r="A772" s="1" t="s">
        <v>1284</v>
      </c>
    </row>
    <row r="773" spans="1:1" x14ac:dyDescent="0.2">
      <c r="A773" s="157" t="s">
        <v>1285</v>
      </c>
    </row>
    <row r="777" spans="1:1" x14ac:dyDescent="0.2">
      <c r="A777" s="18" t="s">
        <v>1286</v>
      </c>
    </row>
    <row r="779" spans="1:1" x14ac:dyDescent="0.2">
      <c r="A779" s="18" t="s">
        <v>1287</v>
      </c>
    </row>
    <row r="780" spans="1:1" x14ac:dyDescent="0.2">
      <c r="A780" s="1" t="s">
        <v>1288</v>
      </c>
    </row>
    <row r="782" spans="1:1" x14ac:dyDescent="0.2">
      <c r="A782" s="18" t="s">
        <v>1289</v>
      </c>
    </row>
    <row r="783" spans="1:1" x14ac:dyDescent="0.2">
      <c r="A783" s="1" t="s">
        <v>1290</v>
      </c>
    </row>
    <row r="784" spans="1:1" x14ac:dyDescent="0.2">
      <c r="A784" s="1" t="s">
        <v>1291</v>
      </c>
    </row>
    <row r="785" spans="1:6" x14ac:dyDescent="0.2">
      <c r="A785" s="1" t="s">
        <v>1292</v>
      </c>
    </row>
    <row r="786" spans="1:6" x14ac:dyDescent="0.2">
      <c r="A786" s="1" t="s">
        <v>1293</v>
      </c>
    </row>
    <row r="787" spans="1:6" x14ac:dyDescent="0.2">
      <c r="A787" s="1" t="s">
        <v>1294</v>
      </c>
    </row>
    <row r="788" spans="1:6" x14ac:dyDescent="0.2">
      <c r="A788" s="1" t="s">
        <v>1295</v>
      </c>
    </row>
    <row r="790" spans="1:6" x14ac:dyDescent="0.2">
      <c r="A790" s="1" t="s">
        <v>1296</v>
      </c>
    </row>
    <row r="791" spans="1:6" x14ac:dyDescent="0.2">
      <c r="A791" s="1" t="s">
        <v>1297</v>
      </c>
    </row>
    <row r="792" spans="1:6" x14ac:dyDescent="0.2">
      <c r="A792" s="1" t="s">
        <v>1298</v>
      </c>
    </row>
    <row r="794" spans="1:6" x14ac:dyDescent="0.2">
      <c r="A794" s="1" t="s">
        <v>1299</v>
      </c>
    </row>
    <row r="795" spans="1:6" x14ac:dyDescent="0.2">
      <c r="D795" s="3">
        <v>150000</v>
      </c>
      <c r="F795" s="1" t="s">
        <v>1300</v>
      </c>
    </row>
    <row r="796" spans="1:6" x14ac:dyDescent="0.2">
      <c r="D796" s="3"/>
    </row>
    <row r="797" spans="1:6" x14ac:dyDescent="0.2">
      <c r="D797" s="3"/>
    </row>
    <row r="798" spans="1:6" ht="17" thickBot="1" x14ac:dyDescent="0.25">
      <c r="D798" s="3"/>
    </row>
    <row r="799" spans="1:6" x14ac:dyDescent="0.2">
      <c r="B799" s="12"/>
      <c r="C799" s="13"/>
      <c r="D799" s="14"/>
    </row>
    <row r="800" spans="1:6" x14ac:dyDescent="0.2">
      <c r="B800" s="72"/>
      <c r="D800" s="73"/>
    </row>
    <row r="801" spans="1:6" x14ac:dyDescent="0.2">
      <c r="B801" s="72"/>
      <c r="D801" s="73"/>
    </row>
    <row r="802" spans="1:6" x14ac:dyDescent="0.2">
      <c r="B802" s="158" t="s">
        <v>1301</v>
      </c>
      <c r="C802" s="18"/>
      <c r="D802" s="159" t="s">
        <v>1302</v>
      </c>
    </row>
    <row r="803" spans="1:6" x14ac:dyDescent="0.2">
      <c r="B803" s="158" t="s">
        <v>1303</v>
      </c>
      <c r="C803" s="18"/>
      <c r="D803" s="159" t="s">
        <v>1303</v>
      </c>
    </row>
    <row r="804" spans="1:6" x14ac:dyDescent="0.2">
      <c r="B804" s="158" t="s">
        <v>1304</v>
      </c>
      <c r="C804" s="18"/>
      <c r="D804" s="159" t="s">
        <v>1305</v>
      </c>
    </row>
    <row r="805" spans="1:6" x14ac:dyDescent="0.2">
      <c r="B805" s="160" t="s">
        <v>1306</v>
      </c>
      <c r="D805" s="161" t="s">
        <v>1307</v>
      </c>
    </row>
    <row r="806" spans="1:6" x14ac:dyDescent="0.2">
      <c r="B806" s="160" t="s">
        <v>1308</v>
      </c>
      <c r="D806" s="161" t="s">
        <v>1309</v>
      </c>
    </row>
    <row r="807" spans="1:6" ht="17" thickBot="1" x14ac:dyDescent="0.25">
      <c r="B807" s="162" t="s">
        <v>1310</v>
      </c>
      <c r="C807" s="16"/>
      <c r="D807" s="163" t="s">
        <v>1311</v>
      </c>
    </row>
    <row r="810" spans="1:6" x14ac:dyDescent="0.2">
      <c r="A810" s="18" t="s">
        <v>1312</v>
      </c>
    </row>
    <row r="811" spans="1:6" x14ac:dyDescent="0.2">
      <c r="A811" s="1" t="s">
        <v>1313</v>
      </c>
    </row>
    <row r="812" spans="1:6" x14ac:dyDescent="0.2">
      <c r="A812" s="1" t="s">
        <v>1314</v>
      </c>
      <c r="F812" s="1" t="s">
        <v>1315</v>
      </c>
    </row>
    <row r="813" spans="1:6" x14ac:dyDescent="0.2">
      <c r="F813" s="1" t="s">
        <v>1316</v>
      </c>
    </row>
    <row r="814" spans="1:6" x14ac:dyDescent="0.2">
      <c r="A814" s="1" t="s">
        <v>1317</v>
      </c>
      <c r="D814" s="66">
        <v>150000</v>
      </c>
    </row>
    <row r="815" spans="1:6" x14ac:dyDescent="0.2">
      <c r="A815" s="1" t="s">
        <v>1318</v>
      </c>
      <c r="D815" s="66">
        <f>-B821</f>
        <v>-100000</v>
      </c>
      <c r="F815" s="1" t="s">
        <v>1319</v>
      </c>
    </row>
    <row r="816" spans="1:6" x14ac:dyDescent="0.2">
      <c r="A816" s="1" t="s">
        <v>1320</v>
      </c>
      <c r="D816" s="164">
        <f>D814+D815</f>
        <v>50000</v>
      </c>
      <c r="F816" s="1" t="s">
        <v>1321</v>
      </c>
    </row>
    <row r="817" spans="1:6" x14ac:dyDescent="0.2">
      <c r="F817" s="1" t="s">
        <v>1322</v>
      </c>
    </row>
    <row r="818" spans="1:6" x14ac:dyDescent="0.2">
      <c r="F818" s="1" t="s">
        <v>1323</v>
      </c>
    </row>
    <row r="819" spans="1:6" x14ac:dyDescent="0.2">
      <c r="A819" s="1" t="s">
        <v>1324</v>
      </c>
      <c r="B819" s="66">
        <v>700000</v>
      </c>
      <c r="F819" s="1" t="s">
        <v>1309</v>
      </c>
    </row>
    <row r="820" spans="1:6" x14ac:dyDescent="0.2">
      <c r="A820" s="1" t="s">
        <v>1325</v>
      </c>
      <c r="B820" s="66">
        <v>-600000</v>
      </c>
      <c r="C820" s="1" t="s">
        <v>1326</v>
      </c>
    </row>
    <row r="821" spans="1:6" x14ac:dyDescent="0.2">
      <c r="A821" s="1" t="s">
        <v>1327</v>
      </c>
      <c r="B821" s="165">
        <f>B819+B820</f>
        <v>100000</v>
      </c>
    </row>
    <row r="823" spans="1:6" x14ac:dyDescent="0.2">
      <c r="A823" s="18" t="s">
        <v>1328</v>
      </c>
    </row>
    <row r="824" spans="1:6" x14ac:dyDescent="0.2">
      <c r="A824" s="1" t="s">
        <v>1329</v>
      </c>
    </row>
    <row r="826" spans="1:6" x14ac:dyDescent="0.2">
      <c r="A826" s="18" t="s">
        <v>1330</v>
      </c>
    </row>
    <row r="827" spans="1:6" x14ac:dyDescent="0.2">
      <c r="A827" s="1" t="s">
        <v>1331</v>
      </c>
      <c r="D827" s="3">
        <v>150000</v>
      </c>
    </row>
    <row r="829" spans="1:6" x14ac:dyDescent="0.2">
      <c r="A829" s="1" t="s">
        <v>1332</v>
      </c>
      <c r="D829" s="66">
        <f>D816</f>
        <v>50000</v>
      </c>
      <c r="E829" s="1" t="s">
        <v>1261</v>
      </c>
    </row>
    <row r="831" spans="1:6" x14ac:dyDescent="0.2">
      <c r="A831" s="1" t="s">
        <v>1333</v>
      </c>
      <c r="D831" s="166">
        <f>D827-D829</f>
        <v>100000</v>
      </c>
      <c r="F831" s="1" t="s">
        <v>1334</v>
      </c>
    </row>
    <row r="833" spans="1:8" x14ac:dyDescent="0.2">
      <c r="A833" s="1" t="s">
        <v>1335</v>
      </c>
    </row>
    <row r="835" spans="1:8" x14ac:dyDescent="0.2">
      <c r="A835" s="52" t="s">
        <v>1336</v>
      </c>
    </row>
    <row r="837" spans="1:8" x14ac:dyDescent="0.2">
      <c r="A837" s="151" t="s">
        <v>1247</v>
      </c>
      <c r="B837" s="152"/>
      <c r="C837" s="152"/>
      <c r="D837" s="152"/>
      <c r="E837" s="152"/>
      <c r="F837" s="152"/>
      <c r="G837" s="152"/>
      <c r="H837" s="152"/>
    </row>
    <row r="839" spans="1:8" x14ac:dyDescent="0.2">
      <c r="A839" s="1" t="s">
        <v>1437</v>
      </c>
    </row>
    <row r="840" spans="1:8" x14ac:dyDescent="0.2">
      <c r="A840" s="1" t="s">
        <v>1438</v>
      </c>
    </row>
    <row r="841" spans="1:8" x14ac:dyDescent="0.2">
      <c r="A841" s="1" t="s">
        <v>1694</v>
      </c>
    </row>
    <row r="842" spans="1:8" x14ac:dyDescent="0.2">
      <c r="A842" s="1" t="s">
        <v>1439</v>
      </c>
    </row>
    <row r="843" spans="1:8" x14ac:dyDescent="0.2">
      <c r="F843" s="66">
        <f>2500*320</f>
        <v>800000</v>
      </c>
      <c r="H843" s="1" t="s">
        <v>1440</v>
      </c>
    </row>
    <row r="844" spans="1:8" x14ac:dyDescent="0.2">
      <c r="A844" s="1" t="s">
        <v>1446</v>
      </c>
      <c r="F844" s="66"/>
    </row>
    <row r="845" spans="1:8" x14ac:dyDescent="0.2">
      <c r="A845" s="1" t="s">
        <v>1441</v>
      </c>
    </row>
    <row r="846" spans="1:8" x14ac:dyDescent="0.2">
      <c r="A846" s="1" t="s">
        <v>1447</v>
      </c>
    </row>
    <row r="847" spans="1:8" x14ac:dyDescent="0.2">
      <c r="A847" s="1" t="s">
        <v>1442</v>
      </c>
    </row>
    <row r="848" spans="1:8" x14ac:dyDescent="0.2">
      <c r="A848" s="1" t="s">
        <v>1443</v>
      </c>
    </row>
    <row r="850" spans="1:7" x14ac:dyDescent="0.2">
      <c r="A850" s="1" t="s">
        <v>146</v>
      </c>
    </row>
    <row r="852" spans="1:7" x14ac:dyDescent="0.2">
      <c r="A852" s="1" t="s">
        <v>1448</v>
      </c>
    </row>
    <row r="853" spans="1:7" x14ac:dyDescent="0.2">
      <c r="A853" s="1" t="s">
        <v>1449</v>
      </c>
    </row>
    <row r="854" spans="1:7" x14ac:dyDescent="0.2">
      <c r="A854" s="1" t="s">
        <v>1450</v>
      </c>
    </row>
    <row r="856" spans="1:7" x14ac:dyDescent="0.2">
      <c r="A856" s="1" t="s">
        <v>1695</v>
      </c>
    </row>
    <row r="858" spans="1:7" x14ac:dyDescent="0.2">
      <c r="C858" s="20" t="s">
        <v>739</v>
      </c>
      <c r="D858" s="20"/>
    </row>
    <row r="859" spans="1:7" x14ac:dyDescent="0.2">
      <c r="A859" s="10" t="s">
        <v>897</v>
      </c>
      <c r="B859" s="10"/>
      <c r="C859" s="27">
        <v>0</v>
      </c>
      <c r="D859" s="27">
        <v>1</v>
      </c>
      <c r="E859" s="27">
        <v>2</v>
      </c>
      <c r="F859" s="20"/>
      <c r="G859" s="20"/>
    </row>
    <row r="860" spans="1:7" x14ac:dyDescent="0.2">
      <c r="A860" s="1" t="s">
        <v>898</v>
      </c>
      <c r="C860" s="20"/>
      <c r="D860" s="101">
        <f>800000</f>
        <v>800000</v>
      </c>
      <c r="E860" s="101">
        <f>D860</f>
        <v>800000</v>
      </c>
      <c r="F860" s="101"/>
      <c r="G860" s="101"/>
    </row>
    <row r="861" spans="1:7" x14ac:dyDescent="0.2">
      <c r="A861" s="1" t="s">
        <v>973</v>
      </c>
      <c r="C861" s="20"/>
      <c r="D861" s="20">
        <f>-3000*1.12</f>
        <v>-3360.0000000000005</v>
      </c>
      <c r="E861" s="20">
        <f>-3000*1.12^2</f>
        <v>-3763.2000000000007</v>
      </c>
      <c r="F861" s="20"/>
      <c r="G861" s="20"/>
    </row>
    <row r="862" spans="1:7" x14ac:dyDescent="0.2">
      <c r="A862" s="1" t="s">
        <v>901</v>
      </c>
      <c r="C862" s="20"/>
      <c r="D862" s="104">
        <f>SUM(D860:D861)</f>
        <v>796640</v>
      </c>
      <c r="E862" s="104">
        <f>SUM(E860:E861)</f>
        <v>796236.80000000005</v>
      </c>
      <c r="F862" s="24"/>
      <c r="G862" s="24"/>
    </row>
    <row r="863" spans="1:7" x14ac:dyDescent="0.2">
      <c r="A863" s="1" t="s">
        <v>1444</v>
      </c>
      <c r="C863" s="20"/>
      <c r="D863" s="102">
        <f>-40%*D862</f>
        <v>-318656</v>
      </c>
      <c r="E863" s="102">
        <f>-40%*E862</f>
        <v>-318494.72000000003</v>
      </c>
      <c r="F863" s="102"/>
      <c r="G863" s="102"/>
    </row>
    <row r="864" spans="1:7" x14ac:dyDescent="0.2">
      <c r="A864" s="1" t="s">
        <v>977</v>
      </c>
      <c r="C864" s="20"/>
      <c r="D864" s="104">
        <f>D862+D863</f>
        <v>477984</v>
      </c>
      <c r="E864" s="104">
        <f>E862+E863</f>
        <v>477742.08000000002</v>
      </c>
      <c r="F864" s="24"/>
      <c r="G864" s="24"/>
    </row>
    <row r="865" spans="1:7" x14ac:dyDescent="0.2">
      <c r="A865" s="1" t="s">
        <v>903</v>
      </c>
      <c r="C865" s="107">
        <v>-700000</v>
      </c>
      <c r="D865" s="20"/>
      <c r="E865" s="20"/>
      <c r="F865" s="20"/>
      <c r="G865" s="20"/>
    </row>
    <row r="866" spans="1:7" x14ac:dyDescent="0.2">
      <c r="A866" s="1" t="s">
        <v>937</v>
      </c>
      <c r="C866" s="20"/>
      <c r="D866" s="20"/>
      <c r="E866" s="20"/>
      <c r="F866" s="20"/>
      <c r="G866" s="24"/>
    </row>
    <row r="867" spans="1:7" x14ac:dyDescent="0.2">
      <c r="A867" s="18" t="s">
        <v>905</v>
      </c>
      <c r="B867" s="18"/>
      <c r="C867" s="106">
        <f>SUM(C864:C866)</f>
        <v>-700000</v>
      </c>
      <c r="D867" s="106">
        <f>SUM(D864:D866)</f>
        <v>477984</v>
      </c>
      <c r="E867" s="106">
        <f>SUM(E864:E866)</f>
        <v>477742.08000000002</v>
      </c>
      <c r="F867" s="101"/>
      <c r="G867" s="101"/>
    </row>
    <row r="869" spans="1:7" x14ac:dyDescent="0.2">
      <c r="A869" s="1" t="s">
        <v>1455</v>
      </c>
      <c r="E869" s="37">
        <v>0.1</v>
      </c>
    </row>
    <row r="871" spans="1:7" x14ac:dyDescent="0.2">
      <c r="E871" s="1" t="s">
        <v>84</v>
      </c>
    </row>
    <row r="872" spans="1:7" x14ac:dyDescent="0.2">
      <c r="D872" s="1">
        <v>10</v>
      </c>
      <c r="E872" s="1" t="s">
        <v>1270</v>
      </c>
    </row>
    <row r="874" spans="1:7" x14ac:dyDescent="0.2">
      <c r="C874" s="66">
        <f>C867</f>
        <v>-700000</v>
      </c>
      <c r="D874" s="1">
        <v>1</v>
      </c>
      <c r="E874" s="1" t="s">
        <v>1001</v>
      </c>
    </row>
    <row r="875" spans="1:7" x14ac:dyDescent="0.2">
      <c r="C875" s="66">
        <f>D867</f>
        <v>477984</v>
      </c>
      <c r="D875" s="1">
        <v>2</v>
      </c>
    </row>
    <row r="876" spans="1:7" x14ac:dyDescent="0.2">
      <c r="C876" s="66">
        <f>E867</f>
        <v>477742.08000000002</v>
      </c>
      <c r="D876" s="1">
        <v>3</v>
      </c>
    </row>
    <row r="878" spans="1:7" x14ac:dyDescent="0.2">
      <c r="C878" s="32">
        <f>NPV(D872/100,C875:C876)+C874</f>
        <v>129359.0743801652</v>
      </c>
      <c r="E878" s="1" t="s">
        <v>1278</v>
      </c>
      <c r="F878" s="1" t="s">
        <v>1696</v>
      </c>
    </row>
    <row r="880" spans="1:7" x14ac:dyDescent="0.2">
      <c r="A880" s="1" t="s">
        <v>1451</v>
      </c>
    </row>
    <row r="882" spans="1:11" x14ac:dyDescent="0.2">
      <c r="A882" s="1" t="s">
        <v>1697</v>
      </c>
    </row>
    <row r="884" spans="1:11" x14ac:dyDescent="0.2">
      <c r="C884" s="20" t="s">
        <v>739</v>
      </c>
      <c r="D884" s="20"/>
    </row>
    <row r="885" spans="1:11" x14ac:dyDescent="0.2">
      <c r="A885" s="10" t="s">
        <v>897</v>
      </c>
      <c r="B885" s="10"/>
      <c r="C885" s="27">
        <v>0</v>
      </c>
      <c r="D885" s="27">
        <v>1</v>
      </c>
      <c r="E885" s="27">
        <v>2</v>
      </c>
      <c r="F885" s="20"/>
      <c r="G885" s="20"/>
    </row>
    <row r="886" spans="1:11" x14ac:dyDescent="0.2">
      <c r="A886" s="1" t="s">
        <v>898</v>
      </c>
      <c r="C886" s="20"/>
      <c r="D886" s="101" t="s">
        <v>1452</v>
      </c>
      <c r="E886" s="101" t="s">
        <v>1452</v>
      </c>
      <c r="F886" s="101"/>
      <c r="G886" s="101"/>
    </row>
    <row r="887" spans="1:11" x14ac:dyDescent="0.2">
      <c r="A887" s="1" t="s">
        <v>973</v>
      </c>
      <c r="C887" s="20"/>
      <c r="D887" s="20" t="s">
        <v>1452</v>
      </c>
      <c r="E887" s="20" t="s">
        <v>1452</v>
      </c>
      <c r="F887" s="20"/>
      <c r="G887" s="20"/>
    </row>
    <row r="888" spans="1:11" x14ac:dyDescent="0.2">
      <c r="A888" s="1" t="s">
        <v>1260</v>
      </c>
      <c r="C888" s="20"/>
      <c r="D888" s="20">
        <f>-700000/2</f>
        <v>-350000</v>
      </c>
      <c r="E888" s="20">
        <f>-700000/2</f>
        <v>-350000</v>
      </c>
      <c r="F888" s="20"/>
      <c r="G888" s="20"/>
      <c r="H888" s="1" t="s">
        <v>1698</v>
      </c>
      <c r="I888" s="1" t="s">
        <v>1699</v>
      </c>
    </row>
    <row r="889" spans="1:11" x14ac:dyDescent="0.2">
      <c r="A889" s="1" t="s">
        <v>901</v>
      </c>
      <c r="C889" s="20"/>
      <c r="D889" s="104">
        <f>D888</f>
        <v>-350000</v>
      </c>
      <c r="E889" s="104">
        <f>E888</f>
        <v>-350000</v>
      </c>
      <c r="F889" s="192" t="s">
        <v>1700</v>
      </c>
      <c r="G889" s="24"/>
    </row>
    <row r="890" spans="1:11" x14ac:dyDescent="0.2">
      <c r="A890" s="1" t="s">
        <v>1444</v>
      </c>
      <c r="C890" s="20"/>
      <c r="D890" s="102">
        <f>-40%*D889</f>
        <v>140000</v>
      </c>
      <c r="E890" s="102">
        <f>-40%*E889</f>
        <v>140000</v>
      </c>
      <c r="F890" s="193" t="s">
        <v>1701</v>
      </c>
      <c r="G890" s="102"/>
    </row>
    <row r="891" spans="1:11" x14ac:dyDescent="0.2">
      <c r="A891" s="1" t="s">
        <v>977</v>
      </c>
      <c r="C891" s="20"/>
      <c r="D891" s="104">
        <f>D889+D890</f>
        <v>-210000</v>
      </c>
      <c r="E891" s="104">
        <f>E889+E890</f>
        <v>-210000</v>
      </c>
      <c r="F891" s="24"/>
      <c r="G891" s="24"/>
    </row>
    <row r="892" spans="1:11" x14ac:dyDescent="0.2">
      <c r="A892" s="1" t="s">
        <v>903</v>
      </c>
      <c r="C892" s="171" t="s">
        <v>1454</v>
      </c>
      <c r="D892" s="20"/>
      <c r="E892" s="20"/>
      <c r="F892" s="20"/>
      <c r="G892" s="20"/>
    </row>
    <row r="893" spans="1:11" x14ac:dyDescent="0.2">
      <c r="A893" s="1" t="s">
        <v>1453</v>
      </c>
      <c r="C893" s="20"/>
      <c r="D893" s="20">
        <f>-D888</f>
        <v>350000</v>
      </c>
      <c r="E893" s="20">
        <f>-E888</f>
        <v>350000</v>
      </c>
      <c r="F893" s="20"/>
      <c r="G893" s="24"/>
    </row>
    <row r="894" spans="1:11" x14ac:dyDescent="0.2">
      <c r="A894" s="18" t="s">
        <v>905</v>
      </c>
      <c r="B894" s="18"/>
      <c r="C894" s="106"/>
      <c r="D894" s="106">
        <f>SUM(D891:D893)</f>
        <v>140000</v>
      </c>
      <c r="E894" s="106">
        <f>SUM(E891:E893)</f>
        <v>140000</v>
      </c>
      <c r="F894" s="194" t="s">
        <v>1702</v>
      </c>
      <c r="G894" s="101"/>
    </row>
    <row r="895" spans="1:11" x14ac:dyDescent="0.2">
      <c r="F895" s="1" t="s">
        <v>1703</v>
      </c>
    </row>
    <row r="896" spans="1:11" x14ac:dyDescent="0.2">
      <c r="K896" s="1" t="s">
        <v>1704</v>
      </c>
    </row>
    <row r="898" spans="1:8" x14ac:dyDescent="0.2">
      <c r="A898" s="1" t="s">
        <v>1445</v>
      </c>
      <c r="E898" s="172">
        <v>0.155</v>
      </c>
      <c r="H898" s="1" t="s">
        <v>1705</v>
      </c>
    </row>
    <row r="900" spans="1:8" x14ac:dyDescent="0.2">
      <c r="E900" s="1" t="s">
        <v>84</v>
      </c>
    </row>
    <row r="901" spans="1:8" x14ac:dyDescent="0.2">
      <c r="D901" s="1">
        <v>15.5</v>
      </c>
      <c r="E901" s="1" t="s">
        <v>1270</v>
      </c>
    </row>
    <row r="903" spans="1:8" x14ac:dyDescent="0.2">
      <c r="C903" s="66">
        <f>C894</f>
        <v>0</v>
      </c>
      <c r="D903" s="1">
        <v>1</v>
      </c>
      <c r="E903" s="1" t="s">
        <v>1001</v>
      </c>
    </row>
    <row r="904" spans="1:8" x14ac:dyDescent="0.2">
      <c r="C904" s="66">
        <f>D894</f>
        <v>140000</v>
      </c>
      <c r="D904" s="1">
        <v>2</v>
      </c>
    </row>
    <row r="905" spans="1:8" x14ac:dyDescent="0.2">
      <c r="C905" s="66">
        <f>E894</f>
        <v>140000</v>
      </c>
      <c r="D905" s="1">
        <v>3</v>
      </c>
    </row>
    <row r="907" spans="1:8" x14ac:dyDescent="0.2">
      <c r="C907" s="32">
        <f>NPV(D901/100,C904:C905)+C903</f>
        <v>226157.68070313524</v>
      </c>
      <c r="E907" s="1" t="s">
        <v>1278</v>
      </c>
      <c r="F907" s="1" t="s">
        <v>1706</v>
      </c>
    </row>
    <row r="908" spans="1:8" x14ac:dyDescent="0.2">
      <c r="F908" s="1" t="s">
        <v>1707</v>
      </c>
    </row>
    <row r="909" spans="1:8" x14ac:dyDescent="0.2">
      <c r="A909" s="1" t="s">
        <v>1456</v>
      </c>
    </row>
    <row r="910" spans="1:8" x14ac:dyDescent="0.2">
      <c r="B910" s="90">
        <f>C878+C907</f>
        <v>355516.75508330041</v>
      </c>
      <c r="E910" s="1" t="s">
        <v>1457</v>
      </c>
    </row>
    <row r="911" spans="1:8" x14ac:dyDescent="0.2">
      <c r="B911" s="1" t="s">
        <v>259</v>
      </c>
    </row>
    <row r="913" spans="4:5" x14ac:dyDescent="0.2">
      <c r="E913" s="1" t="s">
        <v>1708</v>
      </c>
    </row>
    <row r="916" spans="4:5" x14ac:dyDescent="0.2">
      <c r="D916" s="1" t="s">
        <v>1709</v>
      </c>
    </row>
    <row r="929" spans="1:8" x14ac:dyDescent="0.2">
      <c r="A929" s="151" t="s">
        <v>1370</v>
      </c>
      <c r="B929" s="152"/>
      <c r="C929" s="152"/>
      <c r="D929" s="152"/>
      <c r="E929" s="152"/>
      <c r="F929" s="152"/>
      <c r="G929" s="152"/>
      <c r="H929" s="152"/>
    </row>
    <row r="931" spans="1:8" x14ac:dyDescent="0.2">
      <c r="A931" s="18" t="s">
        <v>1371</v>
      </c>
    </row>
    <row r="932" spans="1:8" x14ac:dyDescent="0.2">
      <c r="A932" s="1" t="s">
        <v>1372</v>
      </c>
    </row>
    <row r="933" spans="1:8" x14ac:dyDescent="0.2">
      <c r="A933" s="1" t="s">
        <v>171</v>
      </c>
      <c r="B933" s="1" t="s">
        <v>1373</v>
      </c>
    </row>
    <row r="934" spans="1:8" x14ac:dyDescent="0.2">
      <c r="A934" s="1" t="s">
        <v>172</v>
      </c>
      <c r="B934" s="1" t="s">
        <v>1374</v>
      </c>
    </row>
    <row r="935" spans="1:8" x14ac:dyDescent="0.2">
      <c r="A935" s="1" t="s">
        <v>173</v>
      </c>
      <c r="B935" s="1" t="s">
        <v>1375</v>
      </c>
    </row>
    <row r="936" spans="1:8" x14ac:dyDescent="0.2">
      <c r="B936" s="1" t="s">
        <v>1376</v>
      </c>
    </row>
    <row r="938" spans="1:8" x14ac:dyDescent="0.2">
      <c r="A938" s="1" t="s">
        <v>1377</v>
      </c>
    </row>
    <row r="939" spans="1:8" x14ac:dyDescent="0.2">
      <c r="B939" s="1" t="s">
        <v>1378</v>
      </c>
    </row>
    <row r="940" spans="1:8" x14ac:dyDescent="0.2">
      <c r="C940" s="1" t="s">
        <v>1379</v>
      </c>
    </row>
    <row r="941" spans="1:8" x14ac:dyDescent="0.2">
      <c r="C941" s="1" t="s">
        <v>1380</v>
      </c>
    </row>
    <row r="943" spans="1:8" x14ac:dyDescent="0.2">
      <c r="A943" s="18" t="s">
        <v>1381</v>
      </c>
    </row>
    <row r="945" spans="1:4" x14ac:dyDescent="0.2">
      <c r="C945" s="1" t="s">
        <v>1353</v>
      </c>
    </row>
    <row r="946" spans="1:4" x14ac:dyDescent="0.2">
      <c r="C946" s="20" t="s">
        <v>1382</v>
      </c>
      <c r="D946" s="1" t="s">
        <v>1383</v>
      </c>
    </row>
    <row r="947" spans="1:4" x14ac:dyDescent="0.2">
      <c r="C947" s="20" t="s">
        <v>62</v>
      </c>
      <c r="D947" s="1" t="s">
        <v>1384</v>
      </c>
    </row>
    <row r="948" spans="1:4" x14ac:dyDescent="0.2">
      <c r="C948" s="20" t="s">
        <v>1385</v>
      </c>
      <c r="D948" s="1" t="s">
        <v>1386</v>
      </c>
    </row>
    <row r="950" spans="1:4" x14ac:dyDescent="0.2">
      <c r="A950" s="1" t="s">
        <v>1387</v>
      </c>
    </row>
    <row r="953" spans="1:4" x14ac:dyDescent="0.2">
      <c r="C953" s="1" t="s">
        <v>1353</v>
      </c>
    </row>
    <row r="954" spans="1:4" x14ac:dyDescent="0.2">
      <c r="C954" s="20" t="s">
        <v>1388</v>
      </c>
      <c r="D954" s="1" t="s">
        <v>1389</v>
      </c>
    </row>
    <row r="955" spans="1:4" x14ac:dyDescent="0.2">
      <c r="C955" s="20" t="s">
        <v>62</v>
      </c>
      <c r="D955" s="1" t="s">
        <v>1390</v>
      </c>
    </row>
    <row r="956" spans="1:4" x14ac:dyDescent="0.2">
      <c r="C956" s="20" t="s">
        <v>1385</v>
      </c>
      <c r="D956" s="1" t="s">
        <v>1391</v>
      </c>
    </row>
    <row r="958" spans="1:4" x14ac:dyDescent="0.2">
      <c r="A958" s="1" t="s">
        <v>1392</v>
      </c>
    </row>
    <row r="962" spans="1:4" x14ac:dyDescent="0.2">
      <c r="A962" s="1" t="s">
        <v>1393</v>
      </c>
    </row>
    <row r="965" spans="1:4" x14ac:dyDescent="0.2">
      <c r="C965" s="1" t="s">
        <v>1353</v>
      </c>
    </row>
    <row r="966" spans="1:4" x14ac:dyDescent="0.2">
      <c r="C966" s="20" t="s">
        <v>1357</v>
      </c>
      <c r="D966" s="1" t="s">
        <v>1394</v>
      </c>
    </row>
    <row r="967" spans="1:4" x14ac:dyDescent="0.2">
      <c r="C967" s="20" t="s">
        <v>1385</v>
      </c>
      <c r="D967" s="1" t="s">
        <v>1395</v>
      </c>
    </row>
    <row r="969" spans="1:4" x14ac:dyDescent="0.2">
      <c r="A969" s="18" t="s">
        <v>1396</v>
      </c>
    </row>
    <row r="970" spans="1:4" x14ac:dyDescent="0.2">
      <c r="A970" s="18" t="s">
        <v>1397</v>
      </c>
    </row>
    <row r="974" spans="1:4" x14ac:dyDescent="0.2">
      <c r="A974" s="18" t="s">
        <v>1398</v>
      </c>
    </row>
    <row r="975" spans="1:4" x14ac:dyDescent="0.2">
      <c r="A975" s="18" t="s">
        <v>1399</v>
      </c>
    </row>
    <row r="977" spans="1:4" x14ac:dyDescent="0.2">
      <c r="D977" s="1" t="s">
        <v>1400</v>
      </c>
    </row>
    <row r="979" spans="1:4" x14ac:dyDescent="0.2">
      <c r="A979" s="18" t="s">
        <v>1401</v>
      </c>
    </row>
    <row r="980" spans="1:4" x14ac:dyDescent="0.2">
      <c r="A980" s="18" t="s">
        <v>1402</v>
      </c>
    </row>
    <row r="982" spans="1:4" x14ac:dyDescent="0.2">
      <c r="D982" s="1" t="s">
        <v>1403</v>
      </c>
    </row>
    <row r="987" spans="1:4" x14ac:dyDescent="0.2">
      <c r="A987" s="1" t="s">
        <v>1404</v>
      </c>
    </row>
    <row r="988" spans="1:4" x14ac:dyDescent="0.2">
      <c r="A988" s="1" t="s">
        <v>1405</v>
      </c>
    </row>
    <row r="989" spans="1:4" x14ac:dyDescent="0.2">
      <c r="A989" s="1" t="s">
        <v>1406</v>
      </c>
    </row>
  </sheetData>
  <mergeCells count="11">
    <mergeCell ref="A1:H1"/>
    <mergeCell ref="D506:E506"/>
    <mergeCell ref="B103:E106"/>
    <mergeCell ref="B107:E111"/>
    <mergeCell ref="B102:E102"/>
    <mergeCell ref="B189:B190"/>
    <mergeCell ref="B191:B192"/>
    <mergeCell ref="B193:B194"/>
    <mergeCell ref="C189:C190"/>
    <mergeCell ref="C191:C192"/>
    <mergeCell ref="C193:C194"/>
  </mergeCells>
  <pageMargins left="0.7" right="0.7" top="0.75" bottom="0.75" header="0.3" footer="0.3"/>
  <ignoredErrors>
    <ignoredError sqref="D581" formula="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תרגול 1</vt:lpstr>
      <vt:lpstr>תרגול 2</vt:lpstr>
      <vt:lpstr>תרגול 3</vt:lpstr>
      <vt:lpstr>תרגול 4</vt:lpstr>
      <vt:lpstr>חיזוקי אגח נוספים ללא מפגש</vt:lpstr>
      <vt:lpstr>תרגול 5 עדכני קיץ</vt:lpstr>
      <vt:lpstr>תרגול 7 חדש אגח והצמדות</vt:lpstr>
      <vt:lpstr>תרגול 8 - פרויקטים</vt:lpstr>
      <vt:lpstr>היבטים במבחן 1</vt:lpstr>
      <vt:lpstr>היבטים במבחן 2</vt:lpstr>
      <vt:lpstr>היבטים במבחן 3</vt:lpstr>
      <vt:lpstr>היבטים במבחן 4</vt:lpstr>
      <vt:lpstr>תרגול מסכם והיבטים נוספים</vt:lpstr>
      <vt:lpstr>שיעורון חזרה לקראת מועד ב</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Shay Tsaban</dc:creator>
  <cp:lastModifiedBy>Shay Tsaban</cp:lastModifiedBy>
  <dcterms:created xsi:type="dcterms:W3CDTF">2024-08-22T08:22:14Z</dcterms:created>
  <dcterms:modified xsi:type="dcterms:W3CDTF">2025-09-04T12:33:22Z</dcterms:modified>
</cp:coreProperties>
</file>